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J495IPU1VHGGTkqScIUy0JvaW6L5Qvn3a/cHRJAPi6ctRA4XdAOOEsGXyoUll8koyUGqKsntpdginDRvFXKx8w==" workbookSaltValue="oMJOgc/RNhSx+PC38t5ML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T18" i="17"/>
  <c r="BG15" i="13"/>
  <c r="BE16" i="13"/>
  <c r="BE15" i="13"/>
  <c r="AX20" i="20"/>
  <c r="S19" i="8" l="1"/>
  <c r="AB13" i="21"/>
  <c r="BG10" i="8"/>
  <c r="BH17" i="16"/>
  <c r="T9" i="11"/>
  <c r="C12" i="14"/>
  <c r="K12" i="14" s="1"/>
  <c r="B9" i="6"/>
  <c r="U9" i="17"/>
  <c r="U19" i="17" s="1"/>
  <c r="BJ16" i="11"/>
  <c r="BM17" i="11"/>
  <c r="AQ10" i="21"/>
  <c r="BG12" i="11"/>
  <c r="BW10" i="20"/>
  <c r="BW12" i="20"/>
  <c r="BU11" i="17"/>
  <c r="BK17" i="11"/>
  <c r="BJ12" i="11"/>
  <c r="BM12" i="11"/>
  <c r="BF10" i="11"/>
  <c r="BM16" i="11"/>
  <c r="BH11" i="16"/>
  <c r="AL16" i="11"/>
  <c r="C16" i="6"/>
  <c r="BE9" i="13"/>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<sst xmlns="http://schemas.openxmlformats.org/spreadsheetml/2006/main" count="2102" uniqueCount="918">
  <si>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</si>
  <si>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</si>
  <si>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</si>
  <si>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</si>
  <si>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</si>
  <si>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</si>
  <si>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</si>
  <si>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</si>
  <si>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</si>
  <si>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</si>
  <si>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</si>
  <si>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</si>
  <si>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</si>
  <si>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</si>
  <si>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</si>
  <si>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</si>
  <si>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</si>
  <si>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</si>
  <si>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</si>
  <si>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</si>
  <si>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</si>
  <si>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</si>
  <si>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</si>
  <si>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</si>
  <si>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</si>
  <si>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</si>
  <si>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</si>
  <si>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</si>
  <si>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</si>
  <si>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</si>
  <si>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</si>
  <si>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</si>
  <si>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</si>
  <si>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</si>
  <si>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</si>
  <si>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</si>
  <si>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</si>
  <si>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</si>
  <si>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</si>
  <si>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</si>
  <si>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</si>
  <si>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</si>
  <si>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</si>
  <si>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</si>
  <si>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</si>
  <si>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</si>
  <si>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</si>
  <si>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</si>
  <si>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</si>
  <si>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</si>
  <si>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</si>
  <si>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</si>
  <si>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</si>
  <si>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</si>
  <si>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</si>
  <si>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</si>
  <si>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</si>
  <si>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</si>
  <si>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</si>
  <si>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</si>
  <si>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</si>
  <si>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</si>
  <si>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</si>
  <si>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</si>
  <si>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</si>
  <si>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</si>
  <si>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</si>
  <si>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</si>
  <si>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</si>
  <si>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</si>
  <si>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</si>
  <si>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</si>
  <si>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</si>
  <si>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</si>
  <si>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</si>
  <si>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</si>
  <si>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</si>
  <si>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</si>
  <si>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</si>
  <si>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</si>
  <si>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</si>
  <si>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</si>
  <si>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</si>
  <si>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</si>
  <si>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</si>
  <si>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</si>
  <si>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</si>
  <si>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</si>
  <si>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</si>
  <si>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</si>
  <si>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</si>
  <si>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</si>
  <si>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</si>
  <si>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</si>
  <si>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</si>
  <si>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</si>
  <si>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</si>
  <si>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</si>
  <si>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</si>
  <si>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</si>
  <si>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</si>
  <si>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</si>
  <si>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</si>
  <si>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</si>
  <si>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</si>
  <si>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</si>
  <si>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</si>
  <si>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</si>
  <si>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</si>
  <si>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</si>
  <si>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</si>
  <si>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</si>
  <si>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</si>
  <si>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</si>
  <si>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</si>
  <si>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</si>
  <si>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</si>
  <si>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</si>
  <si>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</si>
  <si>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</si>
  <si>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</si>
  <si>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</si>
  <si>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</si>
  <si>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</si>
  <si>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</si>
  <si>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</si>
  <si>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</si>
  <si>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</si>
  <si>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</si>
  <si>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</si>
  <si>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</si>
  <si>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</si>
  <si>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</si>
  <si>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</si>
  <si>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</si>
  <si>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</si>
  <si>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</si>
  <si>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</si>
  <si>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</si>
  <si>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</si>
  <si>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</si>
  <si>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</si>
  <si>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</si>
  <si>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</si>
  <si>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</si>
  <si>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</si>
  <si>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</si>
  <si>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</si>
  <si>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</si>
  <si>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</si>
  <si>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</si>
  <si>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</si>
  <si>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</si>
  <si>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</si>
  <si>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</si>
  <si>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</si>
  <si>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</si>
  <si>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</si>
  <si>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</si>
  <si>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</si>
  <si>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</si>
  <si>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</si>
  <si>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</si>
  <si>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</si>
  <si>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</si>
  <si>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</si>
  <si>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</si>
  <si>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</si>
  <si>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</si>
  <si>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</si>
  <si>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</si>
  <si>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</si>
  <si>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</si>
  <si>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</si>
  <si>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</si>
  <si>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</si>
  <si>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</si>
  <si>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</si>
  <si>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</si>
  <si>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</si>
  <si>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</si>
  <si>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</si>
  <si>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</si>
  <si>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</si>
  <si>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</si>
  <si>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</si>
  <si>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</si>
  <si>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</si>
  <si>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</si>
  <si>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</si>
  <si>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</si>
  <si>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</si>
  <si>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</si>
  <si>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</si>
  <si>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</si>
  <si>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</si>
  <si>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</si>
  <si>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</si>
  <si>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</si>
  <si>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</si>
  <si>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</si>
  <si>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</si>
  <si>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</si>
  <si>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</si>
  <si>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</si>
  <si>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</si>
  <si>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</si>
  <si>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</si>
  <si>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</si>
  <si>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</si>
  <si>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</si>
  <si>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</si>
  <si>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</si>
  <si>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</si>
  <si>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</si>
  <si>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</si>
  <si>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</si>
  <si>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</si>
  <si>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</si>
  <si>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</si>
  <si>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</si>
  <si>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</si>
  <si>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</si>
  <si>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</si>
  <si>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</si>
  <si>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</si>
  <si>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</si>
  <si>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</si>
  <si>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</si>
  <si>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</si>
  <si>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</si>
  <si>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</si>
  <si>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</si>
  <si>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</si>
  <si>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</si>
  <si>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</si>
  <si>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</si>
  <si>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</si>
  <si>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</si>
  <si>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</si>
  <si>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</si>
  <si>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</si>
  <si>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</si>
  <si>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</si>
  <si>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</si>
  <si>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</si>
  <si>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</si>
  <si>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</si>
  <si>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</si>
  <si>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</si>
  <si>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</si>
  <si>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</si>
  <si>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</si>
  <si>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</si>
  <si>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</si>
  <si>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</si>
  <si>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</si>
  <si>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</si>
  <si>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</si>
  <si>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</si>
  <si>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</si>
  <si>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</si>
  <si>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</si>
  <si>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</si>
  <si>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</si>
  <si>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</si>
  <si>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</si>
  <si>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</si>
  <si>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</si>
  <si>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</si>
  <si>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</si>
  <si>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</si>
  <si>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</si>
  <si>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</si>
  <si>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</si>
  <si>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</si>
  <si>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</si>
  <si>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</si>
  <si>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</si>
  <si>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</si>
  <si>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</si>
  <si>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</si>
  <si>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</si>
  <si>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</si>
  <si>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</si>
  <si>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</si>
  <si>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</si>
  <si>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</si>
  <si>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</si>
  <si>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</si>
  <si>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</si>
  <si>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</si>
  <si>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</si>
  <si>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</si>
  <si>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</si>
  <si>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</si>
  <si>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</si>
  <si>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</si>
  <si>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</si>
  <si>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</si>
  <si>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</si>
  <si>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</si>
  <si>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</si>
  <si>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</si>
  <si>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</si>
  <si>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</si>
  <si>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</si>
  <si>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</si>
  <si>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</si>
  <si>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</si>
  <si>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</si>
  <si>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</si>
  <si>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</si>
  <si>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</si>
  <si>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</si>
  <si>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</si>
  <si>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</si>
  <si>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</si>
  <si>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</si>
  <si>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</si>
  <si>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</si>
  <si>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</si>
  <si>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</si>
  <si>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</si>
  <si>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</si>
  <si>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</si>
  <si>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</si>
  <si>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</si>
  <si>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</si>
  <si>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</si>
  <si>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</si>
  <si>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</si>
  <si>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</si>
  <si>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</si>
  <si>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</si>
  <si>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</si>
  <si>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</si>
  <si>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</si>
  <si>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</si>
  <si>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</si>
  <si>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</si>
  <si>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</si>
  <si>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</si>
  <si>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</si>
  <si>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</si>
  <si>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</si>
  <si>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</si>
  <si>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</si>
  <si>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</si>
  <si>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</si>
  <si>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</si>
  <si>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</si>
  <si>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</si>
  <si>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</si>
  <si>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</si>
  <si>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</si>
  <si>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</si>
  <si>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</si>
  <si>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</si>
  <si>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</si>
  <si>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</si>
  <si>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</si>
  <si>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</si>
  <si>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</si>
  <si>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</si>
  <si>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</si>
  <si>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</si>
  <si>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</si>
  <si>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</si>
  <si>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</si>
  <si>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</si>
  <si>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</si>
  <si>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</si>
  <si>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</si>
  <si>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</si>
  <si>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</si>
  <si>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</si>
  <si>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</si>
  <si>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</si>
  <si>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</si>
  <si>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</si>
  <si>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</si>
  <si>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</si>
  <si>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</si>
  <si>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</si>
  <si>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</si>
  <si>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</si>
  <si>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</si>
  <si>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</si>
  <si>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</si>
  <si>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</si>
  <si>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</si>
  <si>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</si>
  <si>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</si>
  <si>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</si>
  <si>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</si>
  <si>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</si>
  <si>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</si>
  <si>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</si>
  <si>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</si>
  <si>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</si>
  <si>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</si>
  <si>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</si>
  <si>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</si>
  <si>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</si>
  <si>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</si>
  <si>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</si>
  <si>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</si>
  <si>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</si>
  <si>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</si>
  <si>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</si>
  <si>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</si>
  <si>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</si>
  <si>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</si>
  <si>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</si>
  <si>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</si>
  <si>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</si>
  <si>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</si>
  <si>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</si>
  <si>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</si>
  <si>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</si>
  <si>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</si>
  <si>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</si>
  <si>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</si>
  <si>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</si>
  <si>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</si>
  <si>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</si>
  <si>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</si>
  <si>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</si>
  <si>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</si>
  <si>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</si>
  <si>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</si>
  <si>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</si>
  <si>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</si>
  <si>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</si>
  <si>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</si>
  <si>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</si>
  <si>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</si>
  <si>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</si>
  <si>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</si>
  <si>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</si>
  <si>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</si>
  <si>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</si>
  <si>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</si>
  <si>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</si>
  <si>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</si>
  <si>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</si>
  <si>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</si>
  <si>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</si>
  <si>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</si>
  <si>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</si>
  <si>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</si>
  <si>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</si>
  <si>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</si>
  <si>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</si>
  <si>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</si>
  <si>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</si>
  <si>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</si>
  <si>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</si>
  <si>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</si>
  <si>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</si>
  <si>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</si>
  <si>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</si>
  <si>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</si>
  <si>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</si>
  <si>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</si>
  <si>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</si>
  <si>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</si>
  <si>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</si>
  <si>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</si>
  <si>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</si>
  <si>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</si>
  <si>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</si>
  <si>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</si>
  <si>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</si>
  <si>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</si>
  <si>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</si>
  <si>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</si>
  <si>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</si>
  <si>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</si>
  <si>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</si>
  <si>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</si>
  <si>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</si>
  <si>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</si>
  <si>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</si>
  <si>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</si>
  <si>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</si>
  <si>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</si>
  <si>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</si>
  <si>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</si>
  <si>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</si>
  <si>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</si>
  <si>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</si>
  <si>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</si>
  <si>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</si>
  <si>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</si>
  <si>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</si>
  <si>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</si>
  <si>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</si>
  <si>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</si>
  <si>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</si>
  <si>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</si>
  <si>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</si>
  <si>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</si>
  <si>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</si>
  <si>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</si>
  <si>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</si>
  <si>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</si>
  <si>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</si>
  <si>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</si>
  <si>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</si>
  <si>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</si>
  <si>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</si>
  <si>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</si>
  <si>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</si>
  <si>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</si>
  <si>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</si>
  <si>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</si>
  <si>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</si>
  <si>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</si>
  <si>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</si>
  <si>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</si>
  <si>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</si>
  <si>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</si>
  <si>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</si>
  <si>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</si>
  <si>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</si>
  <si>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</si>
  <si>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</si>
  <si>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</si>
  <si>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</si>
  <si>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</si>
  <si>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</si>
  <si>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</si>
  <si>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</si>
  <si>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</si>
  <si>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</si>
  <si>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</si>
  <si>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</si>
  <si>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</si>
  <si>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</si>
  <si>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</si>
  <si>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</si>
  <si>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</si>
  <si>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</si>
  <si>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</si>
  <si>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</si>
  <si>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</si>
  <si>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</si>
  <si>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</si>
  <si>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</si>
  <si>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</si>
  <si>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</si>
  <si>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</si>
  <si>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</si>
  <si>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</si>
  <si>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</si>
  <si>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</si>
  <si>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</si>
  <si>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</si>
  <si>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</si>
  <si>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</si>
  <si>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</si>
  <si>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</si>
  <si>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</si>
  <si>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</si>
  <si>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</si>
  <si>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</si>
  <si>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</si>
  <si>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</si>
  <si>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</si>
  <si>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</si>
  <si>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</si>
  <si>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</si>
  <si>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</si>
  <si>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</si>
  <si>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</si>
  <si>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</si>
  <si>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</si>
  <si>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</si>
  <si>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</si>
  <si>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</si>
  <si>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</si>
  <si>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</si>
  <si>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</si>
  <si>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</si>
  <si>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</si>
  <si>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</si>
  <si>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</si>
  <si>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</si>
  <si>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</si>
  <si>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</si>
  <si>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</si>
  <si>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</si>
  <si>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</si>
  <si>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</si>
  <si>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</si>
  <si>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</si>
  <si>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</si>
  <si>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</si>
  <si>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</si>
  <si>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</si>
  <si>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</si>
  <si>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</si>
  <si>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</si>
  <si>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</si>
  <si>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</si>
  <si>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</si>
  <si>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</si>
  <si>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</si>
  <si>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</si>
  <si>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</si>
  <si>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</si>
  <si>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</si>
  <si>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</si>
  <si>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</si>
  <si>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</si>
  <si>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</si>
  <si>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</si>
  <si>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</si>
  <si>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</si>
  <si>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</si>
  <si>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</si>
  <si>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</si>
  <si>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</si>
  <si>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</si>
  <si>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</si>
  <si>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</si>
  <si>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</si>
  <si>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</si>
  <si>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</si>
  <si>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</si>
  <si>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</si>
  <si>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</si>
  <si>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</si>
  <si>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</si>
  <si>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</si>
  <si>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</si>
  <si>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</si>
  <si>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</si>
  <si>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</si>
  <si>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</si>
  <si>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</si>
  <si>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</si>
  <si>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</si>
  <si>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</si>
  <si>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</si>
  <si>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</si>
  <si>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</si>
  <si>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</si>
  <si>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</si>
  <si>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</si>
  <si>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</si>
  <si>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</si>
  <si>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</si>
  <si>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</si>
  <si>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</si>
  <si>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</si>
  <si>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</si>
  <si>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</si>
  <si>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</si>
  <si>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</si>
  <si>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</si>
  <si>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</si>
  <si>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</si>
  <si>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</si>
  <si>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</si>
  <si>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</si>
  <si>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</si>
  <si>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</si>
  <si>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</si>
  <si>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</si>
  <si>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</si>
  <si>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</si>
  <si>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</si>
  <si>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</si>
  <si>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</si>
  <si>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</si>
  <si>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</si>
  <si>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</si>
  <si>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</si>
  <si>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</si>
  <si>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</si>
  <si>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</si>
  <si>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</si>
  <si>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</si>
  <si>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</si>
  <si>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</si>
  <si>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</si>
  <si>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</si>
  <si>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</si>
  <si>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</si>
  <si>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</si>
  <si>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</si>
  <si>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</si>
  <si>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</si>
  <si>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</si>
  <si>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</si>
  <si>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</si>
  <si>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</si>
  <si>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</si>
  <si>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</si>
  <si>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</si>
  <si>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</si>
  <si>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</si>
  <si>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</si>
  <si>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</si>
  <si>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</si>
  <si>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</si>
  <si>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</si>
  <si>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</si>
  <si>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</si>
  <si>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</si>
  <si>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</si>
  <si>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</si>
  <si>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</si>
  <si>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</si>
  <si>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</si>
  <si>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</si>
  <si>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</si>
  <si>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</si>
  <si>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</si>
  <si>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</si>
  <si>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</si>
  <si>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</si>
  <si>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</si>
  <si>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</si>
  <si>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</si>
  <si>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</si>
  <si>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</si>
  <si>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</si>
  <si>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</si>
  <si>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</si>
  <si>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</si>
  <si>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</si>
  <si>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</si>
  <si>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</si>
  <si>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</si>
  <si>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</si>
  <si>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</si>
  <si>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</si>
  <si>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</si>
  <si>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</si>
  <si>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</si>
  <si>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</si>
  <si>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</si>
  <si>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</si>
  <si>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</si>
  <si>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</si>
  <si>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</si>
  <si>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</si>
  <si>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</si>
  <si>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</si>
  <si>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</si>
  <si>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</si>
  <si>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</si>
  <si>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</si>
  <si>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</si>
  <si>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</si>
  <si>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</si>
  <si>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</si>
  <si>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</si>
  <si>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</si>
  <si>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</si>
  <si>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</si>
  <si>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</si>
  <si>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</si>
  <si>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</si>
  <si>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</si>
  <si>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</si>
  <si>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</si>
  <si>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</si>
  <si>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</si>
  <si>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</si>
  <si>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</si>
  <si>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</si>
  <si>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</si>
  <si>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</si>
  <si>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</si>
  <si>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</si>
  <si>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</si>
  <si>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</si>
  <si>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</si>
  <si>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</si>
  <si>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</si>
  <si>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</si>
  <si>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</si>
  <si>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</si>
  <si>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</si>
  <si>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</si>
  <si>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</si>
  <si>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</si>
  <si>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</si>
  <si>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</si>
  <si>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</si>
  <si>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</si>
  <si>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</si>
  <si>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</si>
  <si>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</si>
  <si>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</si>
  <si>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</si>
  <si>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</si>
  <si>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</si>
  <si>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</si>
  <si>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</si>
  <si>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</si>
  <si>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</si>
  <si>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</si>
  <si>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</si>
  <si>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</si>
  <si>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</si>
  <si>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</si>
  <si>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</si>
  <si>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</si>
  <si>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</si>
  <si>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</si>
  <si>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</si>
  <si>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</si>
  <si>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</si>
  <si>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</si>
  <si>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</si>
  <si>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</si>
  <si>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</si>
  <si>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</si>
  <si>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</si>
  <si>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</si>
  <si>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</si>
  <si>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</si>
  <si>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</si>
  <si>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</si>
  <si>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</si>
  <si>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</si>
  <si>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</si>
  <si>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</si>
  <si>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</si>
  <si>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</si>
  <si>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</si>
  <si>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</si>
  <si>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</si>
  <si>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</si>
  <si>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</si>
  <si>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</si>
  <si>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</si>
  <si>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</si>
  <si>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</si>
  <si>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</si>
  <si>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</si>
  <si>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</si>
  <si>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</si>
  <si>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</si>
  <si>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</si>
  <si>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</si>
  <si>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</si>
  <si>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</si>
  <si>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</si>
  <si>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</si>
  <si>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</si>
  <si>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</si>
  <si>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</si>
  <si>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</si>
  <si>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</si>
  <si>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</si>
  <si>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</si>
  <si>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</si>
  <si>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</si>
  <si>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</si>
  <si>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</si>
  <si>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</si>
  <si>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</si>
  <si>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</si>
  <si>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</si>
  <si>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</si>
  <si>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</si>
  <si>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</si>
  <si>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</si>
  <si>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</si>
  <si>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</si>
  <si>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</si>
  <si>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</si>
  <si>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</si>
  <si>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</si>
  <si>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</si>
  <si>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</si>
  <si>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</si>
  <si>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</si>
  <si>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</si>
  <si>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</si>
  <si>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</si>
  <si>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</si>
  <si>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</si>
  <si>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</si>
  <si>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</si>
  <si>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</si>
  <si>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</si>
  <si>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</si>
  <si>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</si>
  <si>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</si>
  <si>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</si>
  <si>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</si>
  <si>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</si>
  <si>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</si>
  <si>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</si>
  <si>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</si>
  <si>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</si>
  <si>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</si>
  <si>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</si>
  <si>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</si>
  <si>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</si>
  <si>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</si>
  <si>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</si>
  <si>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</si>
  <si>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</si>
  <si>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</si>
  <si>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</si>
  <si>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</si>
  <si>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</si>
  <si>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</si>
  <si>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ESTEPA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</si>
</sst>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qGd5FQUHvWGEINzEqDumn/nScepD8aLQ+g/xM6KcvskiT4ARL5tu6Ai8mT4DPYGSS3rcZxqCf62VOOlrmjATw==" saltValue="yNTfWu3IyUQPuHucyx1X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4</v>
      </c>
      <c r="F10" s="226">
        <f>IF(ISNUMBER(Datos!K10),Datos!K10," - ")</f>
        <v>3</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6.25E-2</v>
      </c>
      <c r="L10" s="1025">
        <f>IF(ISNUMBER(NºAsuntos!I10/NºAsuntos!G10),(NºAsuntos!I10/NºAsuntos!G10)*11," - ")</f>
        <v>62.333333333333336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24.804780876494025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490</v>
      </c>
      <c r="D16" s="225">
        <f>IF(ISNUMBER(IF(D_I="SI",Datos!I16,Datos!I16+Datos!AC16)),IF(D_I="SI",Datos!I16,Datos!I16+Datos!AC16)," - ")</f>
        <v>487</v>
      </c>
      <c r="E16" s="226">
        <f>IF(ISNUMBER(IF(D_I="SI",Datos!J16,Datos!J16+Datos!AD16)),IF(D_I="SI",Datos!J16,Datos!J16+Datos!AD16)," - ")</f>
        <v>288</v>
      </c>
      <c r="F16" s="226">
        <f>IF(ISNUMBER(IF(D_I="SI",Datos!K16,Datos!K16+Datos!AE16)),IF(D_I="SI",Datos!K16,Datos!K16+Datos!AE16)," - ")</f>
        <v>269</v>
      </c>
      <c r="G16" s="1034" t="str">
        <f>IF(Datos!E16&lt;&gt;"",Datos!E16,Datos!D16)</f>
        <v>04</v>
      </c>
      <c r="H16" s="227">
        <f>IF(ISNUMBER(IF(D_I="SI",Datos!L16,Datos!L16+Datos!AF16)),IF(D_I="SI",Datos!L16,Datos!L16+Datos!AF16)," - ")</f>
        <v>509</v>
      </c>
      <c r="I16" s="1044" t="str">
        <f>IF(ISNUMBER(Datos!AS16/Datos!BM16),Datos!AS16/Datos!BM16," - ")</f>
        <v xml:space="preserve"> - </v>
      </c>
      <c r="J16" s="1045">
        <f>IF(ISNUMBER(Datos!BY16/Datos!CN16),Datos!BY16/Datos!CN16," - ")</f>
        <v>0</v>
      </c>
      <c r="K16" s="230">
        <f t="shared" si="3"/>
        <v>3.8775510204081633E-2</v>
      </c>
      <c r="L16" s="1025">
        <f>IF(ISNUMBER(NºAsuntos!I16/NºAsuntos!G16),(NºAsuntos!I16/NºAsuntos!G16)*11," - ")</f>
        <v>20.814126394052046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v>
      </c>
      <c r="D17" s="225">
        <f>IF(ISNUMBER(IF(D_I="SI",Datos!I17,Datos!I17+Datos!AC17)),IF(D_I="SI",Datos!I17,Datos!I17+Datos!AC17)," - ")</f>
        <v>29</v>
      </c>
      <c r="E17" s="226">
        <f>IF(ISNUMBER(IF(D_I="SI",Datos!J17,Datos!J17+Datos!AD17)),IF(D_I="SI",Datos!J17,Datos!J17+Datos!AD17)," - ")</f>
        <v>31</v>
      </c>
      <c r="F17" s="226">
        <f>IF(ISNUMBER(IF(D_I="SI",Datos!K17,Datos!K17+Datos!AE17)),IF(D_I="SI",Datos!K17,Datos!K17+Datos!AE17)," - ")</f>
        <v>32</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-3.4482758620689655E-2</v>
      </c>
      <c r="L17" s="1025">
        <f>IF(ISNUMBER(NºAsuntos!I17/NºAsuntos!G17),(NºAsuntos!I17/NºAsuntos!G17)*11," - ")</f>
        <v>9.625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519</v>
      </c>
      <c r="D18" s="1049">
        <f>SUBTOTAL(9,D15:D17)</f>
        <v>516</v>
      </c>
      <c r="E18" s="1050">
        <f>SUBTOTAL(9,E15:E17)</f>
        <v>319</v>
      </c>
      <c r="F18" s="1050">
        <f>SUBTOTAL(9,F15:F17)</f>
        <v>301</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535</v>
      </c>
      <c r="D19" s="1071">
        <f>SUBTOTAL(9,D9:D18)</f>
        <v>532</v>
      </c>
      <c r="E19" s="1072">
        <f>SUBTOTAL(9,E9:E18)</f>
        <v>323</v>
      </c>
      <c r="F19" s="1072">
        <f>SUBTOTAL(9,F9:F18)</f>
        <v>304</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mcQKmZ6QNWh2kBK/8nmte9XGdSCcK+zyHCElBW7zZ11gV5+t744o8LBKCoAbV852lrP1YjyDU9O83xtPmmcQw==" saltValue="9JRv9rh7elo26c3KwEWZ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fofRF3WZyHQ/lT/XE8NRdO4T2nyNx6P4NYKe+273d3MSthY7IKecT11lCMFaBQHUDMBFnyioOM2kmhCulb12g==" saltValue="k8RQVZVyWSIwrQpSD9Ls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4</v>
      </c>
      <c r="K10" s="181">
        <v>3</v>
      </c>
      <c r="L10" s="181">
        <v>17</v>
      </c>
      <c r="M10" s="181">
        <v>2</v>
      </c>
      <c r="N10" s="181">
        <v>0</v>
      </c>
      <c r="O10" s="181">
        <v>0</v>
      </c>
      <c r="P10" s="181">
        <v>0</v>
      </c>
      <c r="Q10" s="181">
        <v>0</v>
      </c>
      <c r="R10" s="181">
        <v>1</v>
      </c>
      <c r="S10" s="181">
        <v>9</v>
      </c>
      <c r="T10" s="181">
        <v>3</v>
      </c>
      <c r="U10" s="181">
        <v>0</v>
      </c>
      <c r="V10" s="181">
        <v>12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3</v>
      </c>
      <c r="BA10" s="129">
        <f t="shared" si="0"/>
        <v>0</v>
      </c>
      <c r="BB10" s="129">
        <f t="shared" si="0"/>
        <v>12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551</v>
      </c>
      <c r="J12" s="183">
        <v>230</v>
      </c>
      <c r="K12" s="183">
        <v>230</v>
      </c>
      <c r="L12" s="183">
        <v>551</v>
      </c>
      <c r="M12" s="183">
        <v>63</v>
      </c>
      <c r="N12" s="183">
        <v>91</v>
      </c>
      <c r="O12" s="181">
        <v>118</v>
      </c>
      <c r="P12" s="183">
        <v>48</v>
      </c>
      <c r="Q12" s="183">
        <v>24</v>
      </c>
      <c r="R12" s="183">
        <v>1438</v>
      </c>
      <c r="S12" s="183">
        <v>618</v>
      </c>
      <c r="T12" s="183">
        <v>192</v>
      </c>
      <c r="U12" s="183">
        <v>201</v>
      </c>
      <c r="V12" s="183">
        <v>609</v>
      </c>
      <c r="W12" s="183">
        <v>62</v>
      </c>
      <c r="X12" s="189">
        <v>77</v>
      </c>
      <c r="Y12" s="191">
        <v>19</v>
      </c>
      <c r="Z12" s="181">
        <v>17</v>
      </c>
      <c r="AA12" s="181">
        <v>21</v>
      </c>
      <c r="AB12" s="181">
        <v>15</v>
      </c>
      <c r="AC12" s="183">
        <v>0</v>
      </c>
      <c r="AD12" s="183">
        <v>0</v>
      </c>
      <c r="AE12" s="183">
        <v>0</v>
      </c>
      <c r="AF12" s="189">
        <v>0</v>
      </c>
      <c r="AG12" s="202">
        <v>18</v>
      </c>
      <c r="AH12" s="183">
        <v>17</v>
      </c>
      <c r="AI12" s="183">
        <v>16</v>
      </c>
      <c r="AJ12" s="203">
        <v>19</v>
      </c>
      <c r="AK12" s="182">
        <v>0</v>
      </c>
      <c r="AL12" s="183">
        <v>0</v>
      </c>
      <c r="AM12" s="183">
        <v>0</v>
      </c>
      <c r="AN12" s="189">
        <v>0</v>
      </c>
      <c r="AO12" s="259">
        <v>2</v>
      </c>
      <c r="AP12" s="155">
        <v>2</v>
      </c>
      <c r="AQ12" s="155">
        <v>2</v>
      </c>
      <c r="AR12" s="154">
        <v>2</v>
      </c>
      <c r="AS12" s="340" t="s">
        <v>802</v>
      </c>
      <c r="AT12" s="203"/>
      <c r="AU12" s="202"/>
      <c r="AV12" s="203"/>
      <c r="AW12" s="202"/>
      <c r="AX12" s="203"/>
      <c r="AY12" s="126">
        <f t="shared" si="1"/>
        <v>636</v>
      </c>
      <c r="AZ12" s="127">
        <f t="shared" si="1"/>
        <v>209</v>
      </c>
      <c r="BA12" s="127">
        <f t="shared" si="1"/>
        <v>217</v>
      </c>
      <c r="BB12" s="127">
        <f t="shared" si="1"/>
        <v>628</v>
      </c>
      <c r="BC12" s="125">
        <f>IF(ISNUMBER(X12),X12," - ")</f>
        <v>77</v>
      </c>
      <c r="BD12" s="126">
        <f t="shared" si="2"/>
        <v>1.0382775119617225</v>
      </c>
      <c r="BE12" s="127">
        <f t="shared" si="3"/>
        <v>2.8940092165898617</v>
      </c>
      <c r="BF12" s="127">
        <f t="shared" si="4"/>
        <v>0.35483870967741937</v>
      </c>
      <c r="BG12" s="196">
        <f t="shared" si="5"/>
        <v>3.8940092165898617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567</v>
      </c>
      <c r="J13" s="184">
        <f t="shared" si="6"/>
        <v>234</v>
      </c>
      <c r="K13" s="184">
        <f t="shared" si="6"/>
        <v>233</v>
      </c>
      <c r="L13" s="184">
        <f t="shared" si="6"/>
        <v>568</v>
      </c>
      <c r="M13" s="184">
        <f t="shared" si="6"/>
        <v>65</v>
      </c>
      <c r="N13" s="184">
        <f t="shared" si="6"/>
        <v>91</v>
      </c>
      <c r="O13" s="184">
        <f t="shared" si="6"/>
        <v>118</v>
      </c>
      <c r="P13" s="184">
        <f t="shared" si="6"/>
        <v>48</v>
      </c>
      <c r="Q13" s="184">
        <f t="shared" si="6"/>
        <v>24</v>
      </c>
      <c r="R13" s="184">
        <f t="shared" si="6"/>
        <v>1439</v>
      </c>
      <c r="S13" s="184">
        <f t="shared" si="6"/>
        <v>627</v>
      </c>
      <c r="T13" s="184">
        <f t="shared" si="6"/>
        <v>195</v>
      </c>
      <c r="U13" s="184">
        <f t="shared" si="6"/>
        <v>201</v>
      </c>
      <c r="V13" s="184">
        <f t="shared" si="6"/>
        <v>621</v>
      </c>
      <c r="W13" s="184">
        <f t="shared" si="6"/>
        <v>62</v>
      </c>
      <c r="X13" s="184">
        <f t="shared" si="6"/>
        <v>77</v>
      </c>
      <c r="Y13" s="184">
        <f t="shared" si="6"/>
        <v>19</v>
      </c>
      <c r="Z13" s="184">
        <f t="shared" si="6"/>
        <v>17</v>
      </c>
      <c r="AA13" s="184">
        <f t="shared" si="6"/>
        <v>21</v>
      </c>
      <c r="AB13" s="184">
        <f t="shared" si="6"/>
        <v>15</v>
      </c>
      <c r="AC13" s="184">
        <f t="shared" si="6"/>
        <v>0</v>
      </c>
      <c r="AD13" s="184">
        <f t="shared" si="6"/>
        <v>0</v>
      </c>
      <c r="AE13" s="184">
        <f t="shared" si="6"/>
        <v>0</v>
      </c>
      <c r="AF13" s="184">
        <f>SUBTOTAL(9,AF9:AF12)</f>
        <v>0</v>
      </c>
      <c r="AG13" s="184">
        <f t="shared" ref="AG13:AT13" si="7">SUBTOTAL(9,AG8:AG12)</f>
        <v>18</v>
      </c>
      <c r="AH13" s="184">
        <f t="shared" si="7"/>
        <v>17</v>
      </c>
      <c r="AI13" s="184">
        <f t="shared" si="7"/>
        <v>16</v>
      </c>
      <c r="AJ13" s="184">
        <f t="shared" si="7"/>
        <v>19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645</v>
      </c>
      <c r="AZ13" s="184">
        <f>SUBTOTAL(9,AZ8:AZ12)</f>
        <v>212</v>
      </c>
      <c r="BA13" s="184">
        <f>SUBTOTAL(9,BA8:BA12)</f>
        <v>217</v>
      </c>
      <c r="BB13" s="184">
        <f>SUBTOTAL(9,BB8:BB12)</f>
        <v>640</v>
      </c>
      <c r="BC13" s="184">
        <f>SUBTOTAL(9,BC8:BC12)</f>
        <v>77</v>
      </c>
      <c r="BD13" s="205">
        <f>IF(ISNUMBER(BA13/AZ13),BA13/AZ13," - ")</f>
        <v>1.0235849056603774</v>
      </c>
      <c r="BE13" s="206">
        <f>IF(ISNUMBER(BB13/BA13),BB13/BA13, " - ")</f>
        <v>2.9493087557603688</v>
      </c>
      <c r="BF13" s="206">
        <f>IF(ISNUMBER(BC13/BA13),BC13/BA13, " - ")</f>
        <v>0.35483870967741937</v>
      </c>
      <c r="BG13" s="207">
        <f>IF(ISNUMBER((AY13+AZ13)/BA13),(AY13+AZ13)/BA13," - ")</f>
        <v>3.9493087557603688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487</v>
      </c>
      <c r="J16" s="183">
        <v>288</v>
      </c>
      <c r="K16" s="183">
        <v>269</v>
      </c>
      <c r="L16" s="183">
        <v>509</v>
      </c>
      <c r="M16" s="183">
        <v>38</v>
      </c>
      <c r="N16" s="183">
        <v>169</v>
      </c>
      <c r="O16" s="181">
        <v>0</v>
      </c>
      <c r="P16" s="183">
        <v>3</v>
      </c>
      <c r="Q16" s="183">
        <v>2</v>
      </c>
      <c r="R16" s="183">
        <v>62</v>
      </c>
      <c r="S16" s="183">
        <v>586</v>
      </c>
      <c r="T16" s="183">
        <v>284</v>
      </c>
      <c r="U16" s="183">
        <v>280</v>
      </c>
      <c r="V16" s="183">
        <v>590</v>
      </c>
      <c r="W16" s="183">
        <v>46</v>
      </c>
      <c r="X16" s="189">
        <v>164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586</v>
      </c>
      <c r="AZ16" s="127">
        <f t="shared" si="9"/>
        <v>284</v>
      </c>
      <c r="BA16" s="127">
        <f t="shared" si="9"/>
        <v>280</v>
      </c>
      <c r="BB16" s="127">
        <f t="shared" si="9"/>
        <v>590</v>
      </c>
      <c r="BC16" s="125">
        <f>IF(ISNUMBER(W16),W16," - ")</f>
        <v>46</v>
      </c>
      <c r="BD16" s="126">
        <f t="shared" ref="BD16" si="11">IF(ISNUMBER(BA16/AZ16),BA16/AZ16," - ")</f>
        <v>0.9859154929577465</v>
      </c>
      <c r="BE16" s="127">
        <f t="shared" ref="BE16" si="12">IF(ISNUMBER(BB16/BA16),BB16/BA16, " - ")</f>
        <v>2.1071428571428572</v>
      </c>
      <c r="BF16" s="127">
        <f t="shared" ref="BF16" si="13">IF(ISNUMBER(BC16/BA16),BC16/BA16, " - ")</f>
        <v>0.16428571428571428</v>
      </c>
      <c r="BG16" s="196">
        <f t="shared" si="10"/>
        <v>3.1071428571428572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v>
      </c>
      <c r="J17" s="183">
        <v>31</v>
      </c>
      <c r="K17" s="183">
        <v>32</v>
      </c>
      <c r="L17" s="183">
        <v>28</v>
      </c>
      <c r="M17" s="183">
        <v>3</v>
      </c>
      <c r="N17" s="183">
        <v>17</v>
      </c>
      <c r="O17" s="183">
        <v>0</v>
      </c>
      <c r="P17" s="183">
        <v>0</v>
      </c>
      <c r="Q17" s="183">
        <v>0</v>
      </c>
      <c r="R17" s="183">
        <v>0</v>
      </c>
      <c r="S17" s="183">
        <v>43</v>
      </c>
      <c r="T17" s="183">
        <v>37</v>
      </c>
      <c r="U17" s="183">
        <v>32</v>
      </c>
      <c r="V17" s="183">
        <v>48</v>
      </c>
      <c r="W17" s="183">
        <v>2</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43</v>
      </c>
      <c r="AZ17" s="129">
        <f t="shared" si="14"/>
        <v>37</v>
      </c>
      <c r="BA17" s="129">
        <f t="shared" si="14"/>
        <v>32</v>
      </c>
      <c r="BB17" s="129">
        <f t="shared" si="14"/>
        <v>48</v>
      </c>
      <c r="BC17" s="125">
        <f>IF(ISNUMBER(W17),W17," - ")</f>
        <v>2</v>
      </c>
      <c r="BD17" s="126">
        <f>IF(ISNUMBER(BA17/AZ17),BA17/AZ17," - ")</f>
        <v>0.86486486486486491</v>
      </c>
      <c r="BE17" s="127">
        <f>IF(ISNUMBER(BB17/BA17),BB17/BA17, " - ")</f>
        <v>1.5</v>
      </c>
      <c r="BF17" s="127">
        <f>IF(ISNUMBER(BC17/BA17),BC17/BA17, " - ")</f>
        <v>6.25E-2</v>
      </c>
      <c r="BG17" s="196">
        <f>IF(ISNUMBER((AY17+AZ17)/BA17),(AY17+AZ17)/BA17," - ")</f>
        <v>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516</v>
      </c>
      <c r="J18" s="184">
        <f t="shared" si="15"/>
        <v>319</v>
      </c>
      <c r="K18" s="184">
        <f t="shared" si="15"/>
        <v>301</v>
      </c>
      <c r="L18" s="184">
        <f t="shared" si="15"/>
        <v>537</v>
      </c>
      <c r="M18" s="184">
        <f t="shared" si="15"/>
        <v>41</v>
      </c>
      <c r="N18" s="184">
        <f t="shared" si="15"/>
        <v>186</v>
      </c>
      <c r="O18" s="184">
        <f t="shared" si="15"/>
        <v>0</v>
      </c>
      <c r="P18" s="184">
        <f t="shared" si="15"/>
        <v>3</v>
      </c>
      <c r="Q18" s="184">
        <f t="shared" si="15"/>
        <v>2</v>
      </c>
      <c r="R18" s="184">
        <f t="shared" si="15"/>
        <v>62</v>
      </c>
      <c r="S18" s="184">
        <f t="shared" si="15"/>
        <v>629</v>
      </c>
      <c r="T18" s="184">
        <f t="shared" si="15"/>
        <v>321</v>
      </c>
      <c r="U18" s="184">
        <f t="shared" si="15"/>
        <v>312</v>
      </c>
      <c r="V18" s="184">
        <f t="shared" si="15"/>
        <v>638</v>
      </c>
      <c r="W18" s="184">
        <f t="shared" si="15"/>
        <v>48</v>
      </c>
      <c r="X18" s="184">
        <f t="shared" si="15"/>
        <v>178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629</v>
      </c>
      <c r="AZ18" s="184">
        <f>SUBTOTAL(9,AZ14:AZ17)</f>
        <v>321</v>
      </c>
      <c r="BA18" s="184">
        <f>SUBTOTAL(9,BA14:BA17)</f>
        <v>312</v>
      </c>
      <c r="BB18" s="184">
        <f>SUBTOTAL(9,BB14:BB17)</f>
        <v>638</v>
      </c>
      <c r="BC18" s="184">
        <f>SUBTOTAL(9,BC14:BC17)</f>
        <v>48</v>
      </c>
      <c r="BD18" s="205">
        <f>IF(ISNUMBER(BA18/AZ18),BA18/AZ18," - ")</f>
        <v>0.9719626168224299</v>
      </c>
      <c r="BE18" s="206">
        <f>IF(ISNUMBER(BB18/BA18),BB18/BA18, " - ")</f>
        <v>2.0448717948717947</v>
      </c>
      <c r="BF18" s="206">
        <f>IF(ISNUMBER(BC18/BA18),BC18/BA18, " - ")</f>
        <v>0.15384615384615385</v>
      </c>
      <c r="BG18" s="207">
        <f>IF(ISNUMBER((AY18+AZ18)/BA18),(AY18+AZ18)/BA18," - ")</f>
        <v>3.0448717948717947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1083</v>
      </c>
      <c r="J19" s="134">
        <f t="shared" si="18"/>
        <v>553</v>
      </c>
      <c r="K19" s="134">
        <f t="shared" si="18"/>
        <v>534</v>
      </c>
      <c r="L19" s="134">
        <f t="shared" si="18"/>
        <v>1105</v>
      </c>
      <c r="M19" s="134">
        <f t="shared" si="18"/>
        <v>106</v>
      </c>
      <c r="N19" s="134">
        <f t="shared" si="18"/>
        <v>277</v>
      </c>
      <c r="O19" s="134">
        <f t="shared" si="18"/>
        <v>118</v>
      </c>
      <c r="P19" s="134">
        <f t="shared" si="18"/>
        <v>51</v>
      </c>
      <c r="Q19" s="134">
        <f t="shared" si="18"/>
        <v>26</v>
      </c>
      <c r="R19" s="134">
        <f t="shared" si="18"/>
        <v>1501</v>
      </c>
      <c r="S19" s="134">
        <f t="shared" si="18"/>
        <v>1256</v>
      </c>
      <c r="T19" s="134">
        <f t="shared" si="18"/>
        <v>516</v>
      </c>
      <c r="U19" s="134">
        <f t="shared" si="18"/>
        <v>513</v>
      </c>
      <c r="V19" s="134">
        <f t="shared" si="18"/>
        <v>1259</v>
      </c>
      <c r="W19" s="134">
        <f t="shared" si="18"/>
        <v>110</v>
      </c>
      <c r="X19" s="134">
        <f t="shared" si="18"/>
        <v>255</v>
      </c>
      <c r="Y19" s="134">
        <f t="shared" si="18"/>
        <v>19</v>
      </c>
      <c r="Z19" s="134">
        <f t="shared" si="18"/>
        <v>17</v>
      </c>
      <c r="AA19" s="134">
        <f t="shared" si="18"/>
        <v>21</v>
      </c>
      <c r="AB19" s="134">
        <f t="shared" si="18"/>
        <v>15</v>
      </c>
      <c r="AC19" s="134">
        <f t="shared" si="18"/>
        <v>0</v>
      </c>
      <c r="AD19" s="134">
        <f t="shared" si="18"/>
        <v>0</v>
      </c>
      <c r="AE19" s="134">
        <f t="shared" si="18"/>
        <v>0</v>
      </c>
      <c r="AF19" s="134">
        <f t="shared" si="18"/>
        <v>0</v>
      </c>
      <c r="AG19" s="134">
        <f t="shared" si="18"/>
        <v>18</v>
      </c>
      <c r="AH19" s="134">
        <f t="shared" si="18"/>
        <v>17</v>
      </c>
      <c r="AI19" s="134">
        <f t="shared" si="18"/>
        <v>16</v>
      </c>
      <c r="AJ19" s="134">
        <f t="shared" si="18"/>
        <v>19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1274</v>
      </c>
      <c r="AZ19" s="134">
        <f>SUBTOTAL(9,AZ9:AZ18)</f>
        <v>533</v>
      </c>
      <c r="BA19" s="134">
        <f>SUBTOTAL(9,BA9:BA18)</f>
        <v>529</v>
      </c>
      <c r="BB19" s="134">
        <f>SUBTOTAL(9,BB9:BB18)</f>
        <v>1278</v>
      </c>
      <c r="BC19" s="135">
        <f>SUBTOTAL(9,BC9:BC18)</f>
        <v>125</v>
      </c>
      <c r="BD19" s="213">
        <f>IF(ISNUMBER(BA19/AZ19),BA19/AZ19," - ")</f>
        <v>0.99249530956848031</v>
      </c>
      <c r="BE19" s="210">
        <f>IF(ISNUMBER(BB19/BA19),BB19/BA19, " - ")</f>
        <v>2.4158790170132325</v>
      </c>
      <c r="BF19" s="210">
        <f>IF(ISNUMBER(BC19/BA19),BC19/BA19, " - ")</f>
        <v>0.23629489603024575</v>
      </c>
      <c r="BG19" s="135">
        <f>IF(ISNUMBER((AY19+AZ19)/BA19),(AY19+AZ19)/BA19," - ")</f>
        <v>3.4158790170132325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LGoxADOq9dmaZCdNz4XJpU9EJie5JN34gctgeiY5z3sEVFJGl98lR9y3AlvqaB51TjT8Gk1utyqaY8adIT/kQ==" saltValue="1az4EDhdNHHneU/APNG6d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VF0UCv7fgwFJCKTOopTsEh7E30fEJbFCeUJI197vZQm3n/+5beaWbbmGmJMCgZUobPD+AAjJpjKFcJ7Sdes5w==" saltValue="9dMywaiK9YBYoYcOWZiEe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ESTEPA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11.333333333333334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1438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63</v>
      </c>
      <c r="BD12" s="229">
        <f>IF(ISNUMBER(Datos!N12),Datos!N12," - ")</f>
        <v>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1.0161943319838056</v>
      </c>
      <c r="BH12" s="260">
        <f>IF(ISNUMBER(((IF(J_V="SI",Datos!L12/Datos!K12,(Datos!L12+Datos!AB12)/(Datos!K12+Datos!AA12)))*11)/factor_trimestre),((IF(J_V="SI",Datos!L12/Datos!K12,(Datos!L12+Datos!AB12)/(Datos!K12+Datos!AA12)))*11)/factor_trimestre," - ")</f>
        <v>4.5099601593625502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1.6973125884016973E-2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24</v>
      </c>
      <c r="AD13" s="899">
        <f t="shared" si="1"/>
        <v>0</v>
      </c>
      <c r="AE13" s="899">
        <f t="shared" si="1"/>
        <v>0</v>
      </c>
      <c r="AF13" s="899">
        <f t="shared" si="1"/>
        <v>17</v>
      </c>
      <c r="AG13" s="899">
        <f t="shared" si="1"/>
        <v>0</v>
      </c>
      <c r="AH13" s="899">
        <f t="shared" si="1"/>
        <v>15</v>
      </c>
      <c r="AI13" s="899">
        <f t="shared" si="1"/>
        <v>0</v>
      </c>
      <c r="AJ13" s="899">
        <f t="shared" si="1"/>
        <v>0</v>
      </c>
      <c r="AK13" s="899">
        <f t="shared" si="1"/>
        <v>0</v>
      </c>
      <c r="AL13" s="899">
        <f t="shared" si="1"/>
        <v>0</v>
      </c>
      <c r="AM13" s="899">
        <f t="shared" si="1"/>
        <v>1439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v>
      </c>
      <c r="BD13" s="899">
        <f t="shared" si="1"/>
        <v>91</v>
      </c>
      <c r="BE13" s="899">
        <f t="shared" si="1"/>
        <v>0</v>
      </c>
      <c r="BF13" s="899">
        <f t="shared" si="1"/>
        <v>0</v>
      </c>
      <c r="BG13" s="899">
        <f>IF(ISNUMBER(Datos!K13/Datos!J13),Datos!K13/Datos!J13," - ")</f>
        <v>0.99572649572649574</v>
      </c>
      <c r="BH13" s="903">
        <f>IF(ISNUMBER(((Datos!L13/Datos!K13)*11)/factor_trimestre),((Datos!L13/Datos!K13)*11)/factor_trimestre," - ")</f>
        <v>4.8755364806866952</v>
      </c>
      <c r="BI13" s="899">
        <f>IF(ISNUMBER('Resol  Asuntos'!D13/NºAsuntos!G13),'Resol  Asuntos'!D13/NºAsuntos!G13," - ")</f>
        <v>0.25590551181102361</v>
      </c>
      <c r="BJ13" s="899" t="str">
        <f>IF(ISNUMBER(Datos!CI13/Datos!CJ13),Datos!CI13/Datos!CJ13," - ")</f>
        <v xml:space="preserve"> - </v>
      </c>
      <c r="BK13" s="899">
        <f>SUBTOTAL(9,BK8:BK12)</f>
        <v>0</v>
      </c>
      <c r="BL13" s="899">
        <f>IF(ISNUMBER((I13-AB13+L13)/(F13)),(I13-AB13+L13)/(F13)," - ")</f>
        <v>-0.1875</v>
      </c>
      <c r="BM13" s="904">
        <f>SUBTOTAL(9,BM9:BM12)</f>
        <v>1.6973125884016973E-2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490</v>
      </c>
      <c r="G16" s="598">
        <f>IF(ISNUMBER(IF(D_I="SI",Datos!I16,Datos!I16+Datos!AC16)),IF(D_I="SI",Datos!I16,Datos!I16+Datos!AC16)," - ")</f>
        <v>487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269</v>
      </c>
      <c r="AC16" s="226">
        <f>IF(ISNUMBER(Datos!Q16),Datos!Q16," - ")</f>
        <v>2</v>
      </c>
      <c r="AD16" s="334"/>
      <c r="AE16" s="484"/>
      <c r="AF16" s="596">
        <f>IF(ISNUMBER(IF(D_I="SI",Datos!L16,Datos!L16+Datos!AF16)),IF(D_I="SI",Datos!L16,Datos!L16+Datos!AF16)," - ")</f>
        <v>509</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169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0.93402777777777779</v>
      </c>
      <c r="BH16" s="260">
        <f>IF(ISNUMBER(((IF(D_I="SI",Datos!L16/Datos!K16,(Datos!L16+Datos!AF16)/(Datos!K16+Datos!AE16)))*11)/factor_trimestre),((IF(D_I="SI",Datos!L16/Datos!K16,(Datos!L16+Datos!AF16)/(Datos!K16+Datos!AE16)))*11)/factor_trimestre," - ")</f>
        <v>3.7843866171003722</v>
      </c>
      <c r="BI16" s="243">
        <f>IF(ISNUMBER('Resol  Asuntos'!D16/NºAsuntos!G16),'Resol  Asuntos'!D16/NºAsuntos!G16," - ")</f>
        <v>0.14126394052044611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1.032258064516129</v>
      </c>
      <c r="BH17" s="260">
        <f>IF(ISNUMBER(((IF(D_I="SI",Datos!L17/Datos!K17,(Datos!L17+Datos!AF17)/(Datos!K17+Datos!AE17)))*11)/factor_trimestre),((IF(D_I="SI",Datos!L17/Datos!K17,(Datos!L17+Datos!AF17)/(Datos!K17+Datos!AE17)))*11)/factor_trimestre," - ")</f>
        <v>1.75</v>
      </c>
      <c r="BI17" s="243">
        <f>IF(ISNUMBER('Resol  Asuntos'!D17/NºAsuntos!G17),'Resol  Asuntos'!D17/NºAsuntos!G17," - ")</f>
        <v>9.375E-2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490</v>
      </c>
      <c r="G18" s="898">
        <f>SUBTOTAL(9,G15:G17)</f>
        <v>516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301</v>
      </c>
      <c r="AC18" s="899">
        <f t="shared" si="4"/>
        <v>2</v>
      </c>
      <c r="AD18" s="899">
        <f t="shared" si="4"/>
        <v>0</v>
      </c>
      <c r="AE18" s="899">
        <f t="shared" si="4"/>
        <v>0</v>
      </c>
      <c r="AF18" s="899">
        <f t="shared" si="4"/>
        <v>537</v>
      </c>
      <c r="AG18" s="899">
        <f t="shared" si="4"/>
        <v>0</v>
      </c>
      <c r="AH18" s="899">
        <f t="shared" si="4"/>
        <v>0</v>
      </c>
      <c r="AI18" s="899">
        <f t="shared" si="4"/>
        <v>0</v>
      </c>
      <c r="AJ18" s="899">
        <f t="shared" si="4"/>
        <v>0</v>
      </c>
      <c r="AK18" s="899">
        <f t="shared" si="4"/>
        <v>0</v>
      </c>
      <c r="AL18" s="899">
        <f t="shared" si="4"/>
        <v>0</v>
      </c>
      <c r="AM18" s="899">
        <f t="shared" si="4"/>
        <v>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186</v>
      </c>
      <c r="BE18" s="899">
        <f t="shared" si="4"/>
        <v>0</v>
      </c>
      <c r="BF18" s="899">
        <f t="shared" si="4"/>
        <v>0</v>
      </c>
      <c r="BG18" s="899">
        <f>IF(ISNUMBER(Datos!K18/Datos!J18),Datos!K18/Datos!J18," - ")</f>
        <v>0.94357366771159878</v>
      </c>
      <c r="BH18" s="903">
        <f>IF(ISNUMBER(((Datos!L18/Datos!K18)*11)/factor_trimestre),((Datos!L18/Datos!K18)*11)/factor_trimestre," - ")</f>
        <v>3.5681063122923589</v>
      </c>
      <c r="BI18" s="899">
        <f>SUBTOTAL(9,BI15:BI17)</f>
        <v>0.23501394052044611</v>
      </c>
      <c r="BJ18" s="899">
        <f>SUBTOTAL(9,BJ15:BJ17)</f>
        <v>0</v>
      </c>
      <c r="BK18" s="899">
        <f>SUBTOTAL(9,BK15:BK17)</f>
        <v>0</v>
      </c>
      <c r="BL18" s="899">
        <f>IF(ISNUMBER((I18-AB18+L18)/(F18)),(I18-AB18+L18)/(F18)," - ")</f>
        <v>-0.61428571428571432</v>
      </c>
      <c r="BM18" s="905">
        <f>IF(ISNUMBER((Datos!P18-Datos!Q18)/(Datos!R18-Datos!P18+Datos!Q18)),(Datos!P18-Datos!Q18)/(Datos!R18-Datos!P18+Datos!Q18)," - ")</f>
        <v>1.6393442622950821E-2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506</v>
      </c>
      <c r="G19" s="820">
        <f t="shared" si="6"/>
        <v>532</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304</v>
      </c>
      <c r="AC19" s="821">
        <f t="shared" si="7"/>
        <v>26</v>
      </c>
      <c r="AD19" s="821">
        <f t="shared" si="7"/>
        <v>0</v>
      </c>
      <c r="AE19" s="821">
        <f t="shared" si="7"/>
        <v>0</v>
      </c>
      <c r="AF19" s="828">
        <f t="shared" si="7"/>
        <v>554</v>
      </c>
      <c r="AG19" s="828">
        <f t="shared" si="7"/>
        <v>0</v>
      </c>
      <c r="AH19" s="828">
        <f t="shared" si="7"/>
        <v>15</v>
      </c>
      <c r="AI19" s="828">
        <f t="shared" si="7"/>
        <v>0</v>
      </c>
      <c r="AJ19" s="821">
        <f t="shared" si="7"/>
        <v>0</v>
      </c>
      <c r="AK19" s="828">
        <f t="shared" si="7"/>
        <v>0</v>
      </c>
      <c r="AL19" s="828">
        <f t="shared" si="7"/>
        <v>0</v>
      </c>
      <c r="AM19" s="828">
        <f t="shared" si="7"/>
        <v>1501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106</v>
      </c>
      <c r="BD19" s="820">
        <f t="shared" si="7"/>
        <v>277</v>
      </c>
      <c r="BE19" s="820">
        <f t="shared" si="7"/>
        <v>0</v>
      </c>
      <c r="BF19" s="830">
        <f t="shared" si="7"/>
        <v>0</v>
      </c>
      <c r="BG19" s="915">
        <f>IF(ISNUMBER(Datos!K19/Datos!J19),Datos!K19/Datos!J19," - ")</f>
        <v>0.96564195298372513</v>
      </c>
      <c r="BH19" s="915">
        <f>IF(ISNUMBER(((Datos!L19/Datos!K19)*11)/factor_trimestre),((Datos!L19/Datos!K19)*11)/factor_trimestre," - ")</f>
        <v>4.1385767790262173</v>
      </c>
      <c r="BI19" s="813">
        <f>IF(ISNUMBER(Datos!J19/Datos!I19),Datos!J19/Datos!I19," - ")</f>
        <v>0.51061865189289013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-0.60079051383399207</v>
      </c>
      <c r="BM19" s="889">
        <f>IF(ISNUMBER((Datos!P19-Datos!Q19+R19)/(Datos!R19-Datos!P19+Datos!Q19-R19)),(Datos!P19-Datos!Q19+R19)/(Datos!R19-Datos!P19+Datos!Q19-R19)," - ")</f>
        <v>1.6937669376693765E-2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273.6640275958826</v>
      </c>
      <c r="G21" s="552">
        <f>IF(ISNUMBER(STDEV(G8:G18)),STDEV(G8:G18),"-")</f>
        <v>263.79859741856097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150.059321603158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27.717623755774351</v>
      </c>
      <c r="BD21" s="551"/>
      <c r="BE21" s="551">
        <f>IF(ISNUMBER(STDEV(BE8:BE18)),STDEV(BE8:BE18),"-")</f>
        <v>0</v>
      </c>
      <c r="BF21" s="556">
        <f>IF(ISNUMBER(STDEV(BF8:BF18)),STDEV(BF8:BF18),"-")</f>
        <v>0</v>
      </c>
      <c r="BG21" s="775">
        <f>IF(ISNUMBER(STDEV(BG8:BG18)),STDEV(BG8:BG18),"-")</f>
        <v>0.10334667475602541</v>
      </c>
      <c r="BH21" s="776">
        <f>IF(ISNUMBER(STDEV(BH8:BH18)),STDEV(BH8:BH18),"-")</f>
        <v>3.3000592672324096</v>
      </c>
      <c r="BI21" s="249">
        <f>IF(ISNUMBER(STDEV(BI8:BI18)),STDEV(BI8:BI18),"-")</f>
        <v>7.685250785584985E-2</v>
      </c>
      <c r="BJ21" s="230" t="str">
        <f>IF(ISNUMBER(BL21/BM21),BL21/BM21," - ")</f>
        <v xml:space="preserve"> - </v>
      </c>
      <c r="BK21" s="575"/>
      <c r="BL21" s="559">
        <f>IF(ISNUMBER(STDEV(BL8:BL18)),STDEV(BL8:BL18),"-")</f>
        <v>0.30178307268497295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FG8jbWA3+Vb37VCmDvaPY8m1h3Xb5cuvW/1Gkmh0ExvL35fCBlz09C9MgG8aRFrAPbagnvYmACEx/YBgGQXz1Q==" saltValue="+GQEH7YuUTsODdNgXHXk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ESTEPA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11.333333333333334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1438</v>
      </c>
      <c r="AF12" s="229" t="str">
        <f>IF(ISNUMBER(Datos!BV12),Datos!BV12," - ")</f>
        <v xml:space="preserve"> - </v>
      </c>
      <c r="AG12" s="225" t="str">
        <f>IF(ISNUMBER(Datos!DV12),Datos!DV12," - ")</f>
        <v xml:space="preserve"> - </v>
      </c>
      <c r="AH12" s="298"/>
      <c r="AI12" s="227"/>
      <c r="AJ12" s="225">
        <f>IF(ISNUMBER(Datos!M12),Datos!M12," - ")</f>
        <v>63</v>
      </c>
      <c r="AK12" s="229">
        <f>IF(ISNUMBER(Datos!N12),Datos!N12," - ")</f>
        <v>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4.5099601593625502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1.6973125884016973E-2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24</v>
      </c>
      <c r="AA13" s="900">
        <f t="shared" si="2"/>
        <v>17</v>
      </c>
      <c r="AB13" s="900">
        <f t="shared" si="2"/>
        <v>0</v>
      </c>
      <c r="AC13" s="900">
        <f t="shared" si="2"/>
        <v>0</v>
      </c>
      <c r="AD13" s="900">
        <f t="shared" si="2"/>
        <v>0</v>
      </c>
      <c r="AE13" s="900">
        <f t="shared" si="2"/>
        <v>1439</v>
      </c>
      <c r="AF13" s="908">
        <f t="shared" si="2"/>
        <v>0</v>
      </c>
      <c r="AG13" s="908">
        <f t="shared" si="2"/>
        <v>0</v>
      </c>
      <c r="AH13" s="908">
        <f t="shared" si="2"/>
        <v>0</v>
      </c>
      <c r="AI13" s="908">
        <f t="shared" si="2"/>
        <v>0</v>
      </c>
      <c r="AJ13" s="908">
        <f t="shared" si="2"/>
        <v>65</v>
      </c>
      <c r="AK13" s="908">
        <f t="shared" si="2"/>
        <v>91</v>
      </c>
      <c r="AL13" s="908">
        <f t="shared" si="2"/>
        <v>0</v>
      </c>
      <c r="AM13" s="908">
        <f t="shared" si="2"/>
        <v>0</v>
      </c>
      <c r="AN13" s="908">
        <f t="shared" si="2"/>
        <v>0</v>
      </c>
      <c r="AO13" s="904">
        <f>IF(ISNUMBER(((NºAsuntos!I13/NºAsuntos!G13)*11)/factor_trimestre),((NºAsuntos!I13/NºAsuntos!G13)*11)/factor_trimestre," - ")</f>
        <v>4.590551181102362</v>
      </c>
      <c r="AP13" s="910" t="str">
        <f>IF(ISNUMBER(Datos!CI13/Datos!CJ13),Datos!CI13/Datos!CJ13," - ")</f>
        <v xml:space="preserve"> - </v>
      </c>
      <c r="AQ13" s="928">
        <f t="shared" ref="AQ13:AV13" si="3">SUBTOTAL(9,AQ9:AQ12)</f>
        <v>0</v>
      </c>
      <c r="AR13" s="928">
        <f t="shared" si="3"/>
        <v>1.6973125884016973E-2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490</v>
      </c>
      <c r="G16" s="225">
        <f>IF(ISNUMBER(IF(D_I="SI",Datos!I16,Datos!I16+Datos!AC16)),IF(D_I="SI",Datos!I16,Datos!I16+Datos!AC16)," - ")</f>
        <v>487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269</v>
      </c>
      <c r="Z16" s="619">
        <f>IF(ISNUMBER(Datos!Q16),Datos!Q16," - ")</f>
        <v>2</v>
      </c>
      <c r="AA16" s="332">
        <f>IF(ISNUMBER(IF(D_I="SI",Datos!L16,Datos!L16+Datos!AF16)),IF(D_I="SI",Datos!L16,Datos!L16+Datos!AF16)," - ")</f>
        <v>509</v>
      </c>
      <c r="AB16" s="334"/>
      <c r="AC16" s="334"/>
      <c r="AD16" s="484"/>
      <c r="AE16" s="484">
        <f>IF(ISNUMBER(Datos!R16),Datos!R16," - ")</f>
        <v>62</v>
      </c>
      <c r="AF16" s="229" t="str">
        <f>IF(ISNUMBER(Datos!BV16),Datos!BV16," - ")</f>
        <v xml:space="preserve"> - </v>
      </c>
      <c r="AG16" s="225"/>
      <c r="AH16" s="298"/>
      <c r="AI16" s="227"/>
      <c r="AJ16" s="225">
        <f>IF(ISNUMBER(Datos!M16),Datos!M16," - ")</f>
        <v>38</v>
      </c>
      <c r="AK16" s="229">
        <f>IF(ISNUMBER(Datos!N16),Datos!N16," - ")</f>
        <v>169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3.7843866171003722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490</v>
      </c>
      <c r="G18" s="898">
        <f>SUBTOTAL(9,G15:G17)</f>
        <v>516</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301</v>
      </c>
      <c r="Z18" s="932">
        <f t="shared" si="5"/>
        <v>2</v>
      </c>
      <c r="AA18" s="932">
        <f t="shared" si="5"/>
        <v>537</v>
      </c>
      <c r="AB18" s="932">
        <f t="shared" si="5"/>
        <v>0</v>
      </c>
      <c r="AC18" s="932">
        <f t="shared" si="5"/>
        <v>0</v>
      </c>
      <c r="AD18" s="932">
        <f t="shared" si="5"/>
        <v>0</v>
      </c>
      <c r="AE18" s="932">
        <f t="shared" si="5"/>
        <v>62</v>
      </c>
      <c r="AF18" s="932">
        <f t="shared" si="5"/>
        <v>0</v>
      </c>
      <c r="AG18" s="932">
        <f t="shared" si="5"/>
        <v>0</v>
      </c>
      <c r="AH18" s="932">
        <f t="shared" si="5"/>
        <v>0</v>
      </c>
      <c r="AI18" s="932">
        <f t="shared" si="5"/>
        <v>0</v>
      </c>
      <c r="AJ18" s="932">
        <f t="shared" si="5"/>
        <v>41</v>
      </c>
      <c r="AK18" s="932">
        <f t="shared" si="5"/>
        <v>186</v>
      </c>
      <c r="AL18" s="932">
        <f t="shared" si="5"/>
        <v>0</v>
      </c>
      <c r="AM18" s="932">
        <f t="shared" si="5"/>
        <v>0</v>
      </c>
      <c r="AN18" s="932">
        <f t="shared" si="5"/>
        <v>0</v>
      </c>
      <c r="AO18" s="934">
        <f>IF(ISNUMBER(((NºAsuntos!I18/NºAsuntos!G18)*11)/factor_trimestre),((NºAsuntos!I18/NºAsuntos!G18)*11)/factor_trimestre," - ")</f>
        <v>3.5681063122923589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506</v>
      </c>
      <c r="G19" s="820">
        <f t="shared" si="7"/>
        <v>532</v>
      </c>
      <c r="H19" s="821">
        <f t="shared" si="7"/>
        <v>0</v>
      </c>
      <c r="I19" s="820">
        <f t="shared" si="7"/>
        <v>0</v>
      </c>
      <c r="J19" s="822">
        <f t="shared" si="7"/>
        <v>0</v>
      </c>
      <c r="K19" s="820">
        <f t="shared" si="7"/>
        <v>0</v>
      </c>
      <c r="L19" s="823">
        <f t="shared" si="7"/>
        <v>0</v>
      </c>
      <c r="M19" s="820">
        <f t="shared" si="7"/>
        <v>0</v>
      </c>
      <c r="N19" s="821">
        <f t="shared" si="7"/>
        <v>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304</v>
      </c>
      <c r="Z19" s="827">
        <f t="shared" si="8"/>
        <v>26</v>
      </c>
      <c r="AA19" s="828">
        <f t="shared" si="8"/>
        <v>554</v>
      </c>
      <c r="AB19" s="828">
        <f t="shared" si="8"/>
        <v>0</v>
      </c>
      <c r="AC19" s="828">
        <f t="shared" si="8"/>
        <v>0</v>
      </c>
      <c r="AD19" s="829">
        <f t="shared" si="8"/>
        <v>0</v>
      </c>
      <c r="AE19" s="829">
        <f t="shared" si="8"/>
        <v>1501</v>
      </c>
      <c r="AF19" s="830">
        <f t="shared" si="8"/>
        <v>0</v>
      </c>
      <c r="AG19" s="831">
        <f t="shared" si="8"/>
        <v>0</v>
      </c>
      <c r="AH19" s="832">
        <f t="shared" si="8"/>
        <v>0</v>
      </c>
      <c r="AI19" s="830">
        <f t="shared" si="8"/>
        <v>0</v>
      </c>
      <c r="AJ19" s="820">
        <f t="shared" si="8"/>
        <v>106</v>
      </c>
      <c r="AK19" s="820">
        <f t="shared" si="8"/>
        <v>277</v>
      </c>
      <c r="AL19" s="820">
        <f t="shared" si="8"/>
        <v>0</v>
      </c>
      <c r="AM19" s="833">
        <f t="shared" si="8"/>
        <v>0</v>
      </c>
      <c r="AN19" s="823">
        <f>IF(ISNUMBER(Datos!K19/Datos!J19),Datos!K19/Datos!J19," - ")</f>
        <v>0.96564195298372513</v>
      </c>
      <c r="AO19" s="823">
        <f>IF(ISNUMBER(FIND("06",Criterios!A8,1)),(IF(ISNUMBER(((Datos!R19/Datos!Q19)*11)/factor_trimestre),((Datos!R19/Datos!Q19)*11)/factor_trimestre," - ")),(IF(ISNUMBER(((Datos!L19/Datos!K19)*11)/factor_trimestre),((Datos!L19/Datos!K19)*11)/factor_trimestre," - ")))</f>
        <v>4.1385767790262173</v>
      </c>
      <c r="AP19" s="834" t="str">
        <f>IF(ISNUMBER(Datos!CI19/Datos!CJ19),Datos!CI19/Datos!CJ19," - ")</f>
        <v xml:space="preserve"> - </v>
      </c>
      <c r="AQ19" s="834">
        <f>IF(OR(ISNUMBER(FIND("01",Criterios!A8,1)),ISNUMBER(FIND("02",Criterios!A8,1)),ISNUMBER(FIND("03",Criterios!A8,1)),ISNUMBER(FIND("04",Criterios!A8,1))),(J19-Y19+K19)/(F19-K19),(I19-Y19+K19)/(F19-K19))</f>
        <v>-0.60079051383399207</v>
      </c>
      <c r="AR19" s="834">
        <f>IF(ISNUMBER((Datos!P19-Datos!Q19+O19)/(Datos!R19-Datos!P19+Datos!Q19-O19)),(Datos!P19-Datos!Q19+O19)/(Datos!R19-Datos!P19+Datos!Q19-O19)," - ")</f>
        <v>1.6937669376693765E-2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273.6640275958826</v>
      </c>
      <c r="G21" s="552">
        <f>IF(ISNUMBER(STDEV(G8:G18)),STDEV(G8:G18),"-")</f>
        <v>263.79859741856097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27.717623755774351</v>
      </c>
      <c r="AK21" s="252"/>
      <c r="AL21" s="252">
        <f>IF(ISNUMBER(STDEV(AL8:AL18)),STDEV(AL8:AL18),"-")</f>
        <v>0</v>
      </c>
      <c r="AM21" s="254">
        <f>IF(ISNUMBER(STDEV(AM8:AM18)),STDEV(AM8:AM18),"-")</f>
        <v>0</v>
      </c>
      <c r="AN21" s="539">
        <f>IF(ISNUMBER(STDEV(AN8:AN18)),STDEV(AN8:AN18),"-")</f>
        <v>0</v>
      </c>
      <c r="AO21" s="540">
        <f>IF(ISNUMBER(STDEV(AO8:AO18)),STDEV(AO8:AO18),"-")</f>
        <v>3.3037434359132352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15YR3KcXYVCBkt3+m+uXM1G0y5GTKWHGGYxHOnIJFg1fCPhShv+YIN8KbYAvQVfB8hYxJoQD/Zp/HANrDJOGng==" saltValue="DlaZzZJQljdIQscLzPI5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utSGgTFDd0to3Tt+4UAqLTAYYAIamTPfrJd43TzFFFEmMENNrC9pMbEkAdLH95c8LdqNfIUJm3UKny2N3MgOA==" saltValue="m8sMmdrkvCvpUVdm1SKt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IjxEA236Z/t1ReB8W8GUsVBknDn0zfxTKG0mVIptc9OQ7MvxcORLQkzuenzA6XLe9q3MP2l5fhWkg8d0UWoYg==" saltValue="JTKBUGxJi6/bnEE8UyGk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ESTEPA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0.25590551181102361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0.18095252274458892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Hs1vVI3AYSesr4/OXYVROQUO9n4riZRWviXr43bG2amvMDzbLx2PejxfUd0LWr9gUJ+v0mqBe7bbk5FEr1YwA==" saltValue="Nf3OoDIGbhFlRjb9fZlQY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7Z/oxry/Cz3YeqgAmsP69HwXG1yaLcu12xihvJlZ6WvijqLoPMoWkE/8Ls99lXqcKGJeDFJo53zBFYoIn3KUg==" saltValue="e6TUn4itsHAcEef7KI7d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ESTEPA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4</v>
      </c>
      <c r="F10" s="404">
        <f>IF(ISNUMBER(E10/B10),E10/B10," - ")</f>
        <v>4</v>
      </c>
      <c r="G10" s="403">
        <f>IF(ISNUMBER(Datos!K10),Datos!K10," - ")</f>
        <v>3</v>
      </c>
      <c r="H10" s="404">
        <f>IF(ISNUMBER(G10/B10),G10/B10," - ")</f>
        <v>3</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570</v>
      </c>
      <c r="D12" s="404">
        <f>IF(ISNUMBER(C12/Datos!BH12),C12/Datos!BH12," - ")</f>
        <v>285</v>
      </c>
      <c r="E12" s="403">
        <f>IF(ISNUMBER(IF(J_V="SI",Datos!J12,Datos!J12+Datos!Z12)),IF(J_V="SI",Datos!J12,Datos!J12+Datos!Z12)," - ")</f>
        <v>247</v>
      </c>
      <c r="F12" s="404">
        <f>IF(ISNUMBER(E12/B12),E12/B12," - ")</f>
        <v>123.5</v>
      </c>
      <c r="G12" s="403">
        <f>IF(ISNUMBER(IF(J_V="SI",Datos!K12,Datos!K12+Datos!AA12)),IF(J_V="SI",Datos!K12,Datos!K12+Datos!AA12)," - ")</f>
        <v>251</v>
      </c>
      <c r="H12" s="404">
        <f>IF(ISNUMBER(G12/B12),G12/B12," - ")</f>
        <v>125.5</v>
      </c>
      <c r="I12" s="403">
        <f>IF(ISNUMBER(IF(J_V="SI",Datos!L12,Datos!L12+Datos!AB12)),IF(J_V="SI",Datos!L12,Datos!L12+Datos!AB12)," - ")</f>
        <v>566</v>
      </c>
      <c r="J12" s="404">
        <f>IF(ISNUMBER(I12/B12),I12/B12," - ")</f>
        <v>283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586</v>
      </c>
      <c r="D13" s="850" t="str">
        <f>IF(ISNUMBER(C13/Datos!BI13),C13/Datos!BI13," - ")</f>
        <v xml:space="preserve"> - </v>
      </c>
      <c r="E13" s="849">
        <f>SUBTOTAL(9,E8:E12)</f>
        <v>251</v>
      </c>
      <c r="F13" s="850">
        <f>IF(ISNUMBER(E13/B13),E13/B13," - ")</f>
        <v>125.5</v>
      </c>
      <c r="G13" s="849">
        <f>SUBTOTAL(9,G8:G12)</f>
        <v>254</v>
      </c>
      <c r="H13" s="850">
        <f>IF(ISNUMBER(G13/B13),G13/B13," - ")</f>
        <v>127</v>
      </c>
      <c r="I13" s="849">
        <f>SUBTOTAL(9,I8:I12)</f>
        <v>583</v>
      </c>
      <c r="J13" s="850">
        <f>IF(ISNUMBER(I13/B13),I13/B13," - ")</f>
        <v>291.5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487</v>
      </c>
      <c r="D16" s="404">
        <f>IF(ISNUMBER(C16/Datos!BH16),C16/Datos!BH16," - ")</f>
        <v>243.5</v>
      </c>
      <c r="E16" s="403">
        <f>IF(ISNUMBER(IF(D_I="SI",Datos!J16,Datos!J16+Datos!AD16)),IF(D_I="SI",Datos!J16,Datos!J16+Datos!AD16)," - ")</f>
        <v>288</v>
      </c>
      <c r="F16" s="404">
        <f>IF(ISNUMBER(E16/B16),E16/B16," - ")</f>
        <v>144</v>
      </c>
      <c r="G16" s="403">
        <f>IF(ISNUMBER(IF(D_I="SI",Datos!K16,Datos!K16+Datos!AE16)),IF(D_I="SI",Datos!K16,Datos!K16+Datos!AE16)," - ")</f>
        <v>269</v>
      </c>
      <c r="H16" s="404">
        <f>IF(ISNUMBER(G16/B16),G16/B16," - ")</f>
        <v>134.5</v>
      </c>
      <c r="I16" s="403">
        <f>IF(ISNUMBER(IF(D_I="SI",Datos!L16,Datos!L16+Datos!AF16)),IF(D_I="SI",Datos!L16,Datos!L16+Datos!AF16)," - ")</f>
        <v>509</v>
      </c>
      <c r="J16" s="404">
        <f>IF(ISNUMBER(I16/B16),I16/B16," - ")</f>
        <v>254.5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v>
      </c>
      <c r="D17" s="404">
        <f>IF(ISNUMBER(C17/Datos!BH17),C17/Datos!BH17," - ")</f>
        <v>29</v>
      </c>
      <c r="E17" s="403">
        <f>IF(ISNUMBER(IF(D_I="SI",Datos!J17,Datos!J17+Datos!AD17)),IF(D_I="SI",Datos!J17,Datos!J17+Datos!AD17)," - ")</f>
        <v>31</v>
      </c>
      <c r="F17" s="404">
        <f>IF(ISNUMBER(E17/B17),E17/B17," - ")</f>
        <v>31</v>
      </c>
      <c r="G17" s="403">
        <f>IF(ISNUMBER(IF(D_I="SI",Datos!K17,Datos!K17+Datos!AE17)),IF(D_I="SI",Datos!K17,Datos!K17+Datos!AE17)," - ")</f>
        <v>32</v>
      </c>
      <c r="H17" s="404">
        <f>IF(ISNUMBER(G17/B17),G17/B17," - ")</f>
        <v>32</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516</v>
      </c>
      <c r="D18" s="850" t="str">
        <f>IF(ISNUMBER(C18/Datos!BI18),C18/Datos!BI18," - ")</f>
        <v xml:space="preserve"> - </v>
      </c>
      <c r="E18" s="849">
        <f>SUBTOTAL(9,E14:E17)</f>
        <v>319</v>
      </c>
      <c r="F18" s="850">
        <f>IF(ISNUMBER(E18/B18),E18/B18," - ")</f>
        <v>159.5</v>
      </c>
      <c r="G18" s="849">
        <f>SUBTOTAL(9,G14:G17)</f>
        <v>301</v>
      </c>
      <c r="H18" s="850">
        <f>IF(ISNUMBER(G18/B18),G18/B18," - ")</f>
        <v>150.5</v>
      </c>
      <c r="I18" s="849">
        <f>SUBTOTAL(9,I14:I17)</f>
        <v>537</v>
      </c>
      <c r="J18" s="850">
        <f>IF(ISNUMBER(I18/B18),I18/B18," - ")</f>
        <v>268.5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1102</v>
      </c>
      <c r="D19" s="795" t="str">
        <f>IF(ISNUMBER(C19/Datos!BI19),C19/Datos!BI19," - ")</f>
        <v xml:space="preserve"> - </v>
      </c>
      <c r="E19" s="794">
        <f>SUBTOTAL(9,E9:E18)</f>
        <v>570</v>
      </c>
      <c r="F19" s="795">
        <f>IF(ISNUMBER(E19/B19),E19/B19," - ")</f>
        <v>285</v>
      </c>
      <c r="G19" s="794">
        <f>SUBTOTAL(9,G9:G18)</f>
        <v>555</v>
      </c>
      <c r="H19" s="795">
        <f>IF(ISNUMBER(G19/B19),G19/B19," - ")</f>
        <v>277.5</v>
      </c>
      <c r="I19" s="794">
        <f>SUBTOTAL(9,I9:I18)</f>
        <v>1120</v>
      </c>
      <c r="J19" s="795">
        <f>IF(ISNUMBER(I19/B19),I19/B19," - ")</f>
        <v>560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8YuNx6ZsDKp9/F2Yvos4rajVK4iXcg1TFwWJQeQSTexS/ie/cIVbMXf3gtvghdHJniYFZamUs/7fKHmKuWeBuQ==" saltValue="SiHQIEn4OnbR8f0wMkJo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ESTEPA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11.333333333333334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63</v>
      </c>
      <c r="AM12" s="690">
        <f>IF(ISNUMBER(Datos!N12+DatosP!N16),Datos!N12+DatosP!N16," - ")</f>
        <v>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4.5099601593625502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1.6973125884016973E-2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24</v>
      </c>
      <c r="AE13" s="939">
        <f t="shared" si="1"/>
        <v>0</v>
      </c>
      <c r="AF13" s="939">
        <f t="shared" si="1"/>
        <v>17</v>
      </c>
      <c r="AG13" s="939">
        <f t="shared" si="1"/>
        <v>0</v>
      </c>
      <c r="AH13" s="939">
        <f t="shared" si="1"/>
        <v>1438</v>
      </c>
      <c r="AI13" s="939">
        <f t="shared" si="1"/>
        <v>0</v>
      </c>
      <c r="AJ13" s="939">
        <f t="shared" si="1"/>
        <v>0</v>
      </c>
      <c r="AK13" s="939">
        <f t="shared" si="1"/>
        <v>0</v>
      </c>
      <c r="AL13" s="939">
        <f t="shared" si="1"/>
        <v>65</v>
      </c>
      <c r="AM13" s="939">
        <f t="shared" si="1"/>
        <v>91</v>
      </c>
      <c r="AN13" s="939">
        <f t="shared" si="1"/>
        <v>0</v>
      </c>
      <c r="AO13" s="939">
        <f t="shared" si="1"/>
        <v>0</v>
      </c>
      <c r="AP13" s="944">
        <f>IF(ISNUMBER(((Datos!L13/Datos!K13)*11)/factor_trimestre),((Datos!L13/Datos!K13)*11)/factor_trimestre," - ")</f>
        <v>4.8755364806866952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-0.1875</v>
      </c>
      <c r="AU13" s="939" t="str">
        <f>IF(ISNUMBER((DatosP!#REF!-DatosP!#REF!+DatosP!#REF!)/(DatosP!#REF!+DatosP!#REF!-DatosP!#REF!-DatosP!#REF!)),(DatosP!#REF!-DatosP!#REF!+DatosP!#REF!)/(DatosP!#REF!+DatosP!#REF!-DatosP!#REF!-DatosP!#REF!)," - ")</f>
        <v xml:space="preserve"> - </v>
      </c>
      <c r="AV13" s="945">
        <f>SUBTOTAL(9,AV9:AV12)</f>
        <v>1.6973125884016973E-2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3.5681063122923589</v>
      </c>
      <c r="AQ18" s="944">
        <f>IF(ISNUMBER(((Datos!M18/Datos!L18)*11)/factor_trimestre),((Datos!M18/Datos!L18)*11)/factor_trimestre," - ")</f>
        <v>0.1527001862197393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1.6393442622950821E-2</v>
      </c>
      <c r="AW18" s="946">
        <f>IF(ISNUMBER((Datos!Q18-Datos!R18)/(Datos!S18-Datos!Q18+Datos!R18)),(Datos!Q18-Datos!R18)/(Datos!S18-Datos!Q18+Datos!R18)," - ")</f>
        <v>-8.7082728592162553E-2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24</v>
      </c>
      <c r="AE19" s="957">
        <f t="shared" si="5"/>
        <v>0</v>
      </c>
      <c r="AF19" s="958">
        <f t="shared" si="5"/>
        <v>17</v>
      </c>
      <c r="AG19" s="958">
        <f t="shared" si="5"/>
        <v>0</v>
      </c>
      <c r="AH19" s="958">
        <f t="shared" si="5"/>
        <v>1438</v>
      </c>
      <c r="AI19" s="958">
        <f t="shared" si="5"/>
        <v>0</v>
      </c>
      <c r="AJ19" s="959">
        <f t="shared" si="5"/>
        <v>0</v>
      </c>
      <c r="AK19" s="959">
        <f t="shared" si="5"/>
        <v>0</v>
      </c>
      <c r="AL19" s="951">
        <f t="shared" si="5"/>
        <v>65</v>
      </c>
      <c r="AM19" s="951">
        <f t="shared" si="5"/>
        <v>91</v>
      </c>
      <c r="AN19" s="951">
        <f t="shared" si="5"/>
        <v>0</v>
      </c>
      <c r="AO19" s="951">
        <f t="shared" si="5"/>
        <v>0</v>
      </c>
      <c r="AP19" s="951">
        <f>IF(ISNUMBER(((Datos!L19/Datos!K19)*11)/factor_trimestre),((Datos!L19/Datos!K19)*11)/factor_trimestre," - ")</f>
        <v>4.1385767790262173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1.6937669376693765E-2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36.391390923312251</v>
      </c>
      <c r="AM21" s="736"/>
      <c r="AN21" s="736">
        <f>IF(ISNUMBER(STDEV(AN8:AN18)),STDEV(AN8:AN18),"-")</f>
        <v>0</v>
      </c>
      <c r="AO21" s="742">
        <f>IF(ISNUMBER(STDEV(AO8:AO18)),STDEV(AO8:AO18),"-")</f>
        <v>0</v>
      </c>
      <c r="AP21" s="779">
        <f>IF(ISNUMBER(STDEV(AP8:AP18)),STDEV(AP8:AP18),"-")</f>
        <v>3.550709092453733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BwDTn7T/J+4XrfuMR/NxmYz97jAIkiLCVDUbmrNQ/h6z+U1hkbnKYg5sfpr8jqb9rf9xf5Lh5TY1QrIz74skg==" saltValue="vr5U904p5wS5HZr5uEQAj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ESTEPA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HCd+Oaxno8wFPs+DSi7e1Cm/WGJ3DPOsV3XJMuMu5s8eHUdreScWfR23DFwWAvyUK/zk9cPjiYjZ+UFFJGtxQ==" saltValue="iFzcE6NNF/T5DXwvg4Pq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ESTEPA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63</v>
      </c>
      <c r="E12" s="404">
        <f t="shared" si="0"/>
        <v>31.5</v>
      </c>
      <c r="F12" s="403">
        <f>IF(ISNUMBER(Datos!N12),Datos!N12," - ")</f>
        <v>91</v>
      </c>
      <c r="G12" s="404">
        <f t="shared" si="1"/>
        <v>45.5</v>
      </c>
      <c r="H12" s="403">
        <f>IF(ISNUMBER(Datos!O12),Datos!O12," - ")</f>
        <v>118</v>
      </c>
      <c r="I12" s="404">
        <f t="shared" si="2"/>
        <v>59</v>
      </c>
      <c r="BZ12" s="1186">
        <f>Datos!EZ12</f>
        <v>0</v>
      </c>
    </row>
    <row r="13" spans="1:78" ht="14.25" thickTop="1" thickBot="1">
      <c r="A13" s="848" t="str">
        <f>Datos!A13</f>
        <v>TOTAL</v>
      </c>
      <c r="B13" s="849">
        <f>Datos!AP13</f>
        <v>2</v>
      </c>
      <c r="C13" s="851">
        <f>Datos!AR13</f>
        <v>2</v>
      </c>
      <c r="D13" s="849">
        <f>SUBTOTAL(9,D9:D12)</f>
        <v>65</v>
      </c>
      <c r="E13" s="850">
        <f t="shared" si="0"/>
        <v>32.5</v>
      </c>
      <c r="F13" s="849">
        <f>SUBTOTAL(9,F9:F12)</f>
        <v>91</v>
      </c>
      <c r="G13" s="850">
        <f t="shared" si="1"/>
        <v>45.5</v>
      </c>
      <c r="H13" s="849">
        <f>SUBTOTAL(9,H9:H12)</f>
        <v>118</v>
      </c>
      <c r="I13" s="850">
        <f>IF(ISNUMBER(H13/B13),H13/B13," - ")</f>
        <v>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38</v>
      </c>
      <c r="E16" s="404">
        <f t="shared" si="3"/>
        <v>19</v>
      </c>
      <c r="F16" s="403">
        <f>IF(ISNUMBER(Datos!N16),Datos!N16," - ")</f>
        <v>169</v>
      </c>
      <c r="G16" s="404">
        <f t="shared" si="4"/>
        <v>84.5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41</v>
      </c>
      <c r="E18" s="850">
        <f t="shared" si="3"/>
        <v>20.5</v>
      </c>
      <c r="F18" s="849">
        <f>SUBTOTAL(9,F15:F17)</f>
        <v>186</v>
      </c>
      <c r="G18" s="850">
        <f t="shared" si="4"/>
        <v>93</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106</v>
      </c>
      <c r="E19" s="795">
        <f>IF(ISNUMBER(D19/B19),D19/B19," - ")</f>
        <v>53</v>
      </c>
      <c r="F19" s="794">
        <f>SUBTOTAL(9,F8:F18)</f>
        <v>277</v>
      </c>
      <c r="G19" s="795">
        <f>IF(ISNUMBER(F19/B19),F19/B19," - ")</f>
        <v>138.5</v>
      </c>
      <c r="H19" s="794">
        <f>SUBTOTAL(9,H8:H18)</f>
        <v>118</v>
      </c>
      <c r="I19" s="795">
        <f>IF(ISNUMBER(H19/B19),H19/B19," - ")</f>
        <v>59</v>
      </c>
    </row>
    <row r="22" spans="1:78">
      <c r="A22" s="391" t="str">
        <f>Criterios!A4</f>
        <v>Fecha Informe: 29 nov. 2024</v>
      </c>
    </row>
    <row r="27" spans="1:78">
      <c r="A27" s="414"/>
    </row>
  </sheetData>
  <sheetProtection algorithmName="SHA-512" hashValue="XAowdFUKCsd6jDRNRyyjAhEzdDkJiyaG5e/V6OX6dnsPTf4j9Jd17xrn4H0p8xE/mxNxvBFamEgzSjDas7Ez3Q==" saltValue="i14FfPvQ11e9KD1wyRbG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ESTEPA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v>
      </c>
      <c r="C12" s="434">
        <f>IF(ISNUMBER(Datos!Q12),Datos!Q12," - ")</f>
        <v>24</v>
      </c>
      <c r="D12" s="408">
        <f>IF(ISNUMBER(Datos!R12),Datos!R12," - ")</f>
        <v>1438</v>
      </c>
    </row>
    <row r="13" spans="1:4" ht="14.25" thickTop="1" thickBot="1">
      <c r="A13" s="848" t="str">
        <f>Datos!A13</f>
        <v>TOTAL</v>
      </c>
      <c r="B13" s="849">
        <f>SUBTOTAL(9,B9:B12)</f>
        <v>48</v>
      </c>
      <c r="C13" s="853">
        <f>SUBTOTAL(9,C9:C12)</f>
        <v>24</v>
      </c>
      <c r="D13" s="851">
        <f>SUBTOTAL(9,D9:D12)</f>
        <v>1439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62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2</v>
      </c>
      <c r="D18" s="851">
        <f>SUBTOTAL(9,D15:D17)</f>
        <v>62</v>
      </c>
    </row>
    <row r="19" spans="1:4" ht="16.5" customHeight="1" thickTop="1" thickBot="1">
      <c r="A19" s="793" t="str">
        <f>Datos!A19</f>
        <v>TOTAL JURISDICCIONES</v>
      </c>
      <c r="B19" s="798">
        <f>SUBTOTAL(9,B8:B18)</f>
        <v>51</v>
      </c>
      <c r="C19" s="799">
        <f>SUBTOTAL(9,C8:C18)</f>
        <v>26</v>
      </c>
      <c r="D19" s="800">
        <f>SUBTOTAL(9,D8:D18)</f>
        <v>1501</v>
      </c>
    </row>
    <row r="20" spans="1:4" ht="7.5" customHeight="1"/>
    <row r="21" spans="1:4" ht="6" customHeight="1"/>
    <row r="22" spans="1:4">
      <c r="A22" s="391" t="str">
        <f>Criterios!A4</f>
        <v>Fecha Informe: 29 nov. 2024</v>
      </c>
    </row>
    <row r="27" spans="1:4">
      <c r="A27" s="414"/>
    </row>
  </sheetData>
  <sheetProtection algorithmName="SHA-512" hashValue="LHIVPdl1Gb+b5H7cxNQ9iv2+gftWShuzR+e3rGchhHDcNwMDnrBTtITUuwknqvcrMbas4ekbuAPcnLAmG+SkEg==" saltValue="eoVIvLb59P+UiM7/K39n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ESTEPA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0.77777777777777779</v>
      </c>
      <c r="C10" s="456">
        <f>IF(ISNUMBER((Datos!J10-Datos!T10)/Datos!T10),(Datos!J10-Datos!T10)/Datos!T10," - ")</f>
        <v>0.33333333333333331</v>
      </c>
      <c r="D10" s="456" t="str">
        <f>IF(ISNUMBER((Datos!K10-Datos!U10)/Datos!U10),(Datos!K10-Datos!U10)/Datos!U10," - ")</f>
        <v xml:space="preserve"> - </v>
      </c>
      <c r="E10" s="456">
        <f>IF(ISNUMBER((Datos!L10-Datos!V10)/Datos!V10),(Datos!L10-Datos!V10)/Datos!V10," - ")</f>
        <v>0.41666666666666669</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-0.10377358490566038</v>
      </c>
      <c r="C12" s="456">
        <f>IF(ISNUMBER(
   IF(J_V="SI",(Datos!J12-Datos!T12)/Datos!T12,(Datos!J12+Datos!Z12-(Datos!T12+Datos!AH12))/(Datos!T12+Datos!AH12))
     ),IF(J_V="SI",(Datos!J12-Datos!T12)/Datos!T12,(Datos!J12+Datos!Z12-(Datos!T12+Datos!AH12))/(Datos!T12+Datos!AH12))," - ")</f>
        <v>0.18181818181818182</v>
      </c>
      <c r="D12" s="456">
        <f>IF(ISNUMBER(
   IF(J_V="SI",(Datos!K12-Datos!U12)/Datos!U12,(Datos!K12+Datos!AA12-(Datos!U12+Datos!AI12))/(Datos!U12+Datos!AI12))
     ),IF(J_V="SI",(Datos!K12-Datos!U12)/Datos!U12,(Datos!K12+Datos!AA12-(Datos!U12+Datos!AI12))/(Datos!U12+Datos!AI12))," - ")</f>
        <v>0.15668202764976957</v>
      </c>
      <c r="E12" s="456">
        <f>IF(ISNUMBER(
   IF(J_V="SI",(Datos!L12-Datos!V12)/Datos!V12,(Datos!L12+Datos!AB12-(Datos!V12+Datos!AJ12))/(Datos!V12+Datos!AJ12))
     ),IF(J_V="SI",(Datos!L12-Datos!V12)/Datos!V12,(Datos!L12+Datos!AB12-(Datos!V12+Datos!AJ12))/(Datos!V12+Datos!AJ12))," - ")</f>
        <v>-9.8726114649681534E-2</v>
      </c>
      <c r="F12" s="456">
        <f>IF(ISNUMBER((Datos!M12-Datos!W12)/Datos!W12),(Datos!M12-Datos!W12)/Datos!W12," - ")</f>
        <v>1.6129032258064516E-2</v>
      </c>
      <c r="G12" s="457">
        <f>IF(ISNUMBER((Datos!N12-Datos!X12)/Datos!X12),(Datos!N12-Datos!X12)/Datos!X12," - ")</f>
        <v>0.18181818181818182</v>
      </c>
      <c r="H12" s="455">
        <f>IF(ISNUMBER(((NºAsuntos!G12/NºAsuntos!E12)-Datos!BD12)/Datos!BD12),((NºAsuntos!G12/NºAsuntos!E12)-Datos!BD12)/Datos!BD12," - ")</f>
        <v>-2.1269053527118088E-2</v>
      </c>
      <c r="I12" s="456">
        <f>IF(ISNUMBER(((NºAsuntos!I12/NºAsuntos!G12)-Datos!BE12)/Datos!BE12),((NºAsuntos!I12/NºAsuntos!G12)-Datos!BE12)/Datos!BE12," - ")</f>
        <v>-0.22081102342223452</v>
      </c>
      <c r="J12" s="461">
        <f>IF(ISNUMBER((('Resol  Asuntos'!D12/NºAsuntos!G12)-Datos!BF12)/Datos!BF12),(('Resol  Asuntos'!D12/NºAsuntos!G12)-Datos!BF12)/Datos!BF12," - ")</f>
        <v>-0.29264759145237235</v>
      </c>
      <c r="K12" s="462">
        <f>IF(ISNUMBER((((NºAsuntos!C12+NºAsuntos!E12)/NºAsuntos!G12)-Datos!BG12)/Datos!BG12),(((NºAsuntos!C12+NºAsuntos!E12)/NºAsuntos!G12)-Datos!BG12)/Datos!BG12," - ")</f>
        <v>-0.16410570734812222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-9.1472868217054262E-2</v>
      </c>
      <c r="C13" s="855">
        <f>IF(ISNUMBER(
   IF(J_V="SI",(Datos!J13-Datos!T13)/Datos!T13,(Datos!J13+Datos!Z13-(Datos!T13+Datos!AH13))/(Datos!T13+Datos!AH13))
     ),IF(J_V="SI",(Datos!J13-Datos!T13)/Datos!T13,(Datos!J13+Datos!Z13-(Datos!T13+Datos!AH13))/(Datos!T13+Datos!AH13))," - ")</f>
        <v>0.18396226415094338</v>
      </c>
      <c r="D13" s="855">
        <f>IF(ISNUMBER(
   IF(J_V="SI",(Datos!K13-Datos!U13)/Datos!U13,(Datos!K13+Datos!AA13-(Datos!U13+Datos!AI13))/(Datos!U13+Datos!AI13))
     ),IF(J_V="SI",(Datos!K13-Datos!U13)/Datos!U13,(Datos!K13+Datos!AA13-(Datos!U13+Datos!AI13))/(Datos!U13+Datos!AI13))," - ")</f>
        <v>0.17050691244239632</v>
      </c>
      <c r="E13" s="855">
        <f>IF(ISNUMBER(
   IF(J_V="SI",(Datos!L13-Datos!V13)/Datos!V13,(Datos!L13+Datos!AB13-(Datos!V13+Datos!AJ13))/(Datos!V13+Datos!AJ13))
     ),IF(J_V="SI",(Datos!L13-Datos!V13)/Datos!V13,(Datos!L13+Datos!AB13-(Datos!V13+Datos!AJ13))/(Datos!V13+Datos!AJ13))," - ")</f>
        <v>-8.9062500000000003E-2</v>
      </c>
      <c r="F13" s="856">
        <f>IF(ISNUMBER((Datos!M13-Datos!W13)/Datos!W13),(Datos!M13-Datos!W13)/Datos!W13," - ")</f>
        <v>4.8387096774193547E-2</v>
      </c>
      <c r="G13" s="857">
        <f>IF(ISNUMBER((Datos!N13-Datos!X13)/Datos!X13),(Datos!N13-Datos!X13)/Datos!X13," - ")</f>
        <v>0.18181818181818182</v>
      </c>
      <c r="H13" s="857">
        <f>IF(ISNUMBER(((NºAsuntos!G13/NºAsuntos!E13)-Datos!BD13)/Datos!BD13),((NºAsuntos!G13/NºAsuntos!E13)-Datos!BD13)/Datos!BD13," - ")</f>
        <v>-1.1364679530725084E-2</v>
      </c>
      <c r="I13" s="857">
        <f>IF(ISNUMBER(((NºAsuntos!I13/NºAsuntos!G13)-Datos!BE13)/Datos!BE13),((NºAsuntos!I13/NºAsuntos!G13)-Datos!BE13)/Datos!BE13," - ")</f>
        <v>-0.22175812007874021</v>
      </c>
      <c r="J13" s="857">
        <f>IF(ISNUMBER((('Resol  Asuntos'!D13/NºAsuntos!G13)-Datos!BF13)/Datos!BF13),(('Resol  Asuntos'!D13/NºAsuntos!G13)-Datos!BF13)/Datos!BF13," - ")</f>
        <v>-0.27881173944166077</v>
      </c>
      <c r="K13" s="857">
        <f>IF(ISNUMBER((((NºAsuntos!C13+NºAsuntos!E13)/NºAsuntos!G13)-Datos!BG13)/Datos!BG13),(((NºAsuntos!C13+NºAsuntos!E13)/NºAsuntos!G13)-Datos!BG13)/Datos!BG13," - ")</f>
        <v>-0.16560699749170799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-0.16894197952218429</v>
      </c>
      <c r="C16" s="456">
        <f>IF(ISNUMBER(
   IF(D_I="SI",(Datos!J16-Datos!T16)/Datos!T16,(Datos!J16+Datos!AD16-(Datos!T16+Datos!AL16))/(Datos!T16+Datos!AL16))
     ),IF(D_I="SI",(Datos!J16-Datos!T16)/Datos!T16,(Datos!J16+Datos!AD16-(Datos!T16+Datos!AL16))/(Datos!T16+Datos!AL16))," - ")</f>
        <v>1.4084507042253521E-2</v>
      </c>
      <c r="D16" s="456">
        <f>IF(ISNUMBER(
   IF(D_I="SI",(Datos!K16-Datos!U16)/Datos!U16,(Datos!K16+Datos!AE16-(Datos!U16+Datos!AM16))/(Datos!U16+Datos!AM16))
     ),IF(D_I="SI",(Datos!K16-Datos!U16)/Datos!U16,(Datos!K16+Datos!AE16-(Datos!U16+Datos!AM16))/(Datos!U16+Datos!AM16))," - ")</f>
        <v>-3.9285714285714285E-2</v>
      </c>
      <c r="E16" s="456">
        <f>IF(ISNUMBER(
   IF(D_I="SI",(Datos!L16-Datos!V16)/Datos!V16,(Datos!L16+Datos!AF16-(Datos!V16+Datos!AN16))/(Datos!V16+Datos!AN16))
     ),IF(D_I="SI",(Datos!L16-Datos!V16)/Datos!V16,(Datos!L16+Datos!AF16-(Datos!V16+Datos!AN16))/(Datos!V16+Datos!AN16))," - ")</f>
        <v>-0.13728813559322034</v>
      </c>
      <c r="F16" s="456">
        <f>IF(ISNUMBER((Datos!M16-Datos!W16)/Datos!W16),(Datos!M16-Datos!W16)/Datos!W16," - ")</f>
        <v>-0.17391304347826086</v>
      </c>
      <c r="G16" s="457">
        <f>IF(ISNUMBER((Datos!N16-Datos!X16)/Datos!X16),(Datos!N16-Datos!X16)/Datos!X16," - ")</f>
        <v>3.048780487804878E-2</v>
      </c>
      <c r="H16" s="455">
        <f>IF(ISNUMBER(((NºAsuntos!G16/NºAsuntos!E16)-Datos!BD16)/Datos!BD16),((NºAsuntos!G16/NºAsuntos!E16)-Datos!BD16)/Datos!BD16," - ")</f>
        <v>-5.2628968253968261E-2</v>
      </c>
      <c r="I16" s="456">
        <f>IF(ISNUMBER(((NºAsuntos!I16/NºAsuntos!G16)-Datos!BE16)/Datos!BE16),((NºAsuntos!I16/NºAsuntos!G16)-Datos!BE16)/Datos!BE16," - ")</f>
        <v>-0.10200995526431861</v>
      </c>
      <c r="J16" s="461">
        <f>IF(ISNUMBER((('Resol  Asuntos'!D16/NºAsuntos!G16)-Datos!BF16)/Datos!BF16),(('Resol  Asuntos'!D16/NºAsuntos!G16)-Datos!BF16)/Datos!BF16," - ")</f>
        <v>-0.14013253596250194</v>
      </c>
      <c r="K16" s="462">
        <f>IF(ISNUMBER((((NºAsuntos!C16+NºAsuntos!E16)/NºAsuntos!G16)-Datos!BG16)/Datos!BG16),(((NºAsuntos!C16+NºAsuntos!E16)/NºAsuntos!G16)-Datos!BG16)/Datos!BG16," - ")</f>
        <v>-7.276844848950989E-2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-0.32558139534883723</v>
      </c>
      <c r="C17" s="456">
        <f>IF(ISNUMBER(
   IF(D_I="SI",(Datos!J17-Datos!T17)/Datos!T17,(Datos!J17+Datos!AD17-(Datos!T17+Datos!AL17))/(Datos!T17+Datos!AL17))
     ),IF(D_I="SI",(Datos!J17-Datos!T17)/Datos!T17,(Datos!J17+Datos!AD17-(Datos!T17+Datos!AL17))/(Datos!T17+Datos!AL17))," - ")</f>
        <v>-0.16216216216216217</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-0.41666666666666669</v>
      </c>
      <c r="F17" s="456">
        <f>IF(ISNUMBER((Datos!M17-Datos!W17)/Datos!W17),(Datos!M17-Datos!W17)/Datos!W17," - ")</f>
        <v>0.5</v>
      </c>
      <c r="G17" s="457">
        <f>IF(ISNUMBER((Datos!N17-Datos!X17)/Datos!X17),(Datos!N17-Datos!X17)/Datos!X17," - ")</f>
        <v>0.21428571428571427</v>
      </c>
      <c r="H17" s="455">
        <f>IF(ISNUMBER(((NºAsuntos!G17/NºAsuntos!E17)-Datos!BD17)/Datos!BD17),((NºAsuntos!G17/NºAsuntos!E17)-Datos!BD17)/Datos!BD17," - ")</f>
        <v>0.1935483870967741</v>
      </c>
      <c r="I17" s="456">
        <f>IF(ISNUMBER(((NºAsuntos!I17/NºAsuntos!G17)-Datos!BE17)/Datos!BE17),((NºAsuntos!I17/NºAsuntos!G17)-Datos!BE17)/Datos!BE17," - ")</f>
        <v>-0.41666666666666669</v>
      </c>
      <c r="J17" s="461">
        <f>IF(ISNUMBER((('Resol  Asuntos'!D17/NºAsuntos!G17)-Datos!BF17)/Datos!BF17),(('Resol  Asuntos'!D17/NºAsuntos!G17)-Datos!BF17)/Datos!BF17," - ")</f>
        <v>0.5</v>
      </c>
      <c r="K17" s="462">
        <f>IF(ISNUMBER((((NºAsuntos!C17+NºAsuntos!E17)/NºAsuntos!G17)-Datos!BG17)/Datos!BG17),(((NºAsuntos!C17+NºAsuntos!E17)/NºAsuntos!G17)-Datos!BG17)/Datos!BG17," - ")</f>
        <v>-0.25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-0.17965023847376788</v>
      </c>
      <c r="C18" s="855">
        <f>IF(ISNUMBER(
   IF(Criterios!B14="SI",(Datos!J18-Datos!T18)/Datos!T18,(Datos!J18+Datos!AD18-(Datos!T18+Datos!AL18))/(Datos!T18+Datos!AL18))
     ),IF(Criterios!B14="SI",(Datos!J18-Datos!T18)/Datos!T18,(Datos!J18+Datos!AD18-(Datos!T18+Datos!AL18))/(Datos!T18+Datos!AL18))," - ")</f>
        <v>-6.2305295950155761E-3</v>
      </c>
      <c r="D18" s="855">
        <f>IF(ISNUMBER(
   IF(Criterios!B14="SI",(Datos!K18-Datos!U18)/Datos!U18,(Datos!K18+Datos!AE18-(Datos!U18+Datos!AM18))/(Datos!U18+Datos!AM18))
     ),IF(Criterios!B14="SI",(Datos!K18-Datos!U18)/Datos!U18,(Datos!K18+Datos!AE18-(Datos!U18+Datos!AM18))/(Datos!U18+Datos!AM18))," - ")</f>
        <v>-3.5256410256410256E-2</v>
      </c>
      <c r="E18" s="855">
        <f>IF(ISNUMBER(
   IF(Criterios!B14="SI",(Datos!L18-Datos!V18)/Datos!V18,(Datos!L18+Datos!AF18-(Datos!V18+Datos!AN18))/(Datos!V18+Datos!AN18))
     ),IF(Criterios!B14="SI",(Datos!L18-Datos!V18)/Datos!V18,(Datos!L18+Datos!AF18-(Datos!V18+Datos!AN18))/(Datos!V18+Datos!AN18))," - ")</f>
        <v>-0.15830721003134796</v>
      </c>
      <c r="F18" s="856">
        <f>IF(ISNUMBER((Datos!M18-Datos!W18)/Datos!W18),(Datos!M18-Datos!W18)/Datos!W18," - ")</f>
        <v>-0.14583333333333334</v>
      </c>
      <c r="G18" s="857">
        <f>IF(ISNUMBER((Datos!N18-Datos!X18)/Datos!X18),(Datos!N18-Datos!X18)/Datos!X18," - ")</f>
        <v>4.49438202247191E-2</v>
      </c>
      <c r="H18" s="857">
        <f>IF(ISNUMBER(((NºAsuntos!G18/NºAsuntos!E18)-Datos!BD18)/Datos!BD18),((NºAsuntos!G18/NºAsuntos!E18)-Datos!BD18)/Datos!BD18," - ")</f>
        <v>-2.9207861104412786E-2</v>
      </c>
      <c r="I18" s="857">
        <f>IF(ISNUMBER(((NºAsuntos!I18/NºAsuntos!G18)-Datos!BE18)/Datos!BE18),((NºAsuntos!I18/NºAsuntos!G18)-Datos!BE18)/Datos!BE18," - ")</f>
        <v>-0.12754767285641375</v>
      </c>
      <c r="J18" s="857">
        <f>IF(ISNUMBER((('Resol  Asuntos'!D18/NºAsuntos!G18)-Datos!BF18)/Datos!BF18),(('Resol  Asuntos'!D18/NºAsuntos!G18)-Datos!BF18)/Datos!BF18," - ")</f>
        <v>-0.11461794019933558</v>
      </c>
      <c r="K18" s="857">
        <f>IF(ISNUMBER((((NºAsuntos!C18+NºAsuntos!E18)/NºAsuntos!G18)-Datos!BG18)/Datos!BG18),(((NºAsuntos!C18+NºAsuntos!E18)/NºAsuntos!G18)-Datos!BG18)/Datos!BG18," - ")</f>
        <v>-8.8931631404091618E-2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-0.13500784929356358</v>
      </c>
      <c r="C19" s="802">
        <f>IF(ISNUMBER(
   IF(J_V="SI",(Datos!J19-Datos!T19)/Datos!T19,(Datos!J19+Datos!Z19-(Datos!T19+Datos!AH19))/(Datos!T19+Datos!AH19))
     ),IF(J_V="SI",(Datos!J19-Datos!T19)/Datos!T19,(Datos!J19+Datos!Z19-(Datos!T19+Datos!AH19))/(Datos!T19+Datos!AH19))," - ")</f>
        <v>6.9418386491557224E-2</v>
      </c>
      <c r="D19" s="802">
        <f>IF(ISNUMBER(
   IF(J_V="SI",(Datos!K19-Datos!U19)/Datos!U19,(Datos!K19+Datos!AA19-(Datos!U19+Datos!AI19))/(Datos!U19+Datos!AI19))
     ),IF(J_V="SI",(Datos!K19-Datos!U19)/Datos!U19,(Datos!K19+Datos!AA19-(Datos!U19+Datos!AI19))/(Datos!U19+Datos!AI19))," - ")</f>
        <v>4.9149338374291113E-2</v>
      </c>
      <c r="E19" s="802">
        <f>IF(ISNUMBER(
   IF(J_V="SI",(Datos!L19-Datos!V19)/Datos!V19,(Datos!L19+Datos!AB19-(Datos!V19+Datos!AJ19))/(Datos!V19+Datos!AJ19))
     ),IF(J_V="SI",(Datos!L19-Datos!V19)/Datos!V19,(Datos!L19+Datos!AB19-(Datos!V19+Datos!AJ19))/(Datos!V19+Datos!AJ19))," - ")</f>
        <v>-0.12363067292644757</v>
      </c>
      <c r="F19" s="803">
        <f>IF(ISNUMBER((Datos!M19-Datos!W19)/Datos!W19),(Datos!M19-Datos!W19)/Datos!W19," - ")</f>
        <v>-3.6363636363636362E-2</v>
      </c>
      <c r="G19" s="804">
        <f>IF(ISNUMBER((Datos!N19-Datos!X19)/Datos!X19),(Datos!N19-Datos!X19)/Datos!X19," - ")</f>
        <v>8.6274509803921567E-2</v>
      </c>
      <c r="H19" s="805">
        <f>IF(ISNUMBER((Tasas!B19-Datos!BD19)/Datos!BD19),(Tasas!B19-Datos!BD19)/Datos!BD19," - ")</f>
        <v>-1.8953337976320744E-2</v>
      </c>
      <c r="I19" s="806">
        <f>IF(ISNUMBER((Tasas!C19-Datos!BE19)/Datos!BE19),(Tasas!C19-Datos!BE19)/Datos!BE19," - ")</f>
        <v>-0.16468581257313658</v>
      </c>
      <c r="J19" s="807">
        <f>IF(ISNUMBER((Tasas!D19-Datos!BF19)/Datos!BF19),(Tasas!D19-Datos!BF19)/Datos!BF19," - ")</f>
        <v>-0.19172612612612619</v>
      </c>
      <c r="K19" s="807">
        <f>IF(ISNUMBER((Tasas!E19-Datos!BG19)/Datos!BG19),(Tasas!E19-Datos!BG19)/Datos!BG19," - ")</f>
        <v>-0.11805640726504039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wZzhcScYcgYvy1cenTvJjTeIPTop7dF1Az/HhI9PkLIRFTP51JE/2LvR8D3wNMjx1YdW4SrH0Nv+KP+ftXcQ==" saltValue="6WYW6JaYM5mRDNBBKo/N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ESTEPA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5.666666666666667</v>
      </c>
      <c r="D10" s="444">
        <f>IF(ISNUMBER('Resol  Asuntos'!D10/NºAsuntos!G10),'Resol  Asuntos'!D10/NºAsuntos!G10," - ")</f>
        <v>0.66666666666666663</v>
      </c>
      <c r="E10" s="445">
        <f>IF(ISNUMBER((NºAsuntos!C10+NºAsuntos!E10)/NºAsuntos!G10),(NºAsuntos!C10+NºAsuntos!E10)/NºAsuntos!G10," - ")</f>
        <v>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1.0161943319838056</v>
      </c>
      <c r="C12" s="443">
        <f>IF(ISNUMBER(NºAsuntos!I12/NºAsuntos!G12),NºAsuntos!I12/NºAsuntos!G12," - ")</f>
        <v>2.2549800796812751</v>
      </c>
      <c r="D12" s="444">
        <f>IF(ISNUMBER('Resol  Asuntos'!D12/NºAsuntos!G12),'Resol  Asuntos'!D12/NºAsuntos!G12," - ")</f>
        <v>0.25099601593625498</v>
      </c>
      <c r="E12" s="445">
        <f>IF(ISNUMBER((NºAsuntos!C12+NºAsuntos!E12)/NºAsuntos!G12),(NºAsuntos!C12+NºAsuntos!E12)/NºAsuntos!G12," - ")</f>
        <v>3.2549800796812751</v>
      </c>
      <c r="G12" s="463"/>
    </row>
    <row r="13" spans="1:7" ht="14.25" thickTop="1" thickBot="1">
      <c r="A13" s="848" t="str">
        <f>Datos!A13</f>
        <v>TOTAL</v>
      </c>
      <c r="B13" s="858">
        <f>IF(ISNUMBER(NºAsuntos!G13/NºAsuntos!E13),NºAsuntos!G13/NºAsuntos!E13," - ")</f>
        <v>1.0119521912350598</v>
      </c>
      <c r="C13" s="859">
        <f>IF(ISNUMBER(NºAsuntos!I13/NºAsuntos!G13),NºAsuntos!I13/NºAsuntos!G13," - ")</f>
        <v>2.295275590551181</v>
      </c>
      <c r="D13" s="860">
        <f>IF(ISNUMBER('Resol  Asuntos'!D13/NºAsuntos!G13),'Resol  Asuntos'!D13/NºAsuntos!G13," - ")</f>
        <v>0.25590551181102361</v>
      </c>
      <c r="E13" s="861">
        <f>IF(ISNUMBER((NºAsuntos!C13+NºAsuntos!E13)/NºAsuntos!G13),(NºAsuntos!C13+NºAsuntos!E13)/NºAsuntos!G13," - ")</f>
        <v>3.295275590551181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0.93402777777777779</v>
      </c>
      <c r="C16" s="443">
        <f>IF(ISNUMBER(NºAsuntos!I16/NºAsuntos!G16),NºAsuntos!I16/NºAsuntos!G16," - ")</f>
        <v>1.8921933085501859</v>
      </c>
      <c r="D16" s="444">
        <f>IF(ISNUMBER('Resol  Asuntos'!D16/NºAsuntos!G16),'Resol  Asuntos'!D16/NºAsuntos!G16," - ")</f>
        <v>0.14126394052044611</v>
      </c>
      <c r="E16" s="445">
        <f>IF(ISNUMBER((NºAsuntos!C16+NºAsuntos!E16)/NºAsuntos!G16),(NºAsuntos!C16+NºAsuntos!E16)/NºAsuntos!G16," - ")</f>
        <v>2.8810408921933086</v>
      </c>
      <c r="G16" s="463"/>
    </row>
    <row r="17" spans="1:7" ht="13.5" thickBot="1">
      <c r="A17" s="402" t="str">
        <f>Datos!A17</f>
        <v>Jdos. Violencia contra la mujer</v>
      </c>
      <c r="B17" s="442">
        <f>IF(ISNUMBER(NºAsuntos!G17/NºAsuntos!E17),NºAsuntos!G17/NºAsuntos!E17," - ")</f>
        <v>1.032258064516129</v>
      </c>
      <c r="C17" s="443">
        <f>IF(ISNUMBER(NºAsuntos!I17/NºAsuntos!G17),NºAsuntos!I17/NºAsuntos!G17," - ")</f>
        <v>0.875</v>
      </c>
      <c r="D17" s="444">
        <f>IF(ISNUMBER('Resol  Asuntos'!D17/NºAsuntos!G17),'Resol  Asuntos'!D17/NºAsuntos!G17," - ")</f>
        <v>9.375E-2</v>
      </c>
      <c r="E17" s="445">
        <f>IF(ISNUMBER((NºAsuntos!C17+NºAsuntos!E17)/NºAsuntos!G17),(NºAsuntos!C17+NºAsuntos!E17)/NºAsuntos!G17," - ")</f>
        <v>1.875</v>
      </c>
      <c r="G17" s="463"/>
    </row>
    <row r="18" spans="1:7" ht="14.25" thickTop="1" thickBot="1">
      <c r="A18" s="848" t="str">
        <f>Datos!A18</f>
        <v>TOTAL</v>
      </c>
      <c r="B18" s="858">
        <f>IF(ISNUMBER(NºAsuntos!G18/NºAsuntos!E18),NºAsuntos!G18/NºAsuntos!E18," - ")</f>
        <v>0.94357366771159878</v>
      </c>
      <c r="C18" s="859">
        <f>IF(ISNUMBER(NºAsuntos!I18/NºAsuntos!G18),NºAsuntos!I18/NºAsuntos!G18," - ")</f>
        <v>1.7840531561461794</v>
      </c>
      <c r="D18" s="862">
        <f>IF(ISNUMBER('Resol  Asuntos'!D18/NºAsuntos!G18),'Resol  Asuntos'!D18/NºAsuntos!G18," - ")</f>
        <v>0.13621262458471761</v>
      </c>
      <c r="E18" s="861">
        <f>IF(ISNUMBER((NºAsuntos!C18+NºAsuntos!E18)/NºAsuntos!G18),(NºAsuntos!C18+NºAsuntos!E18)/NºAsuntos!G18," - ")</f>
        <v>2.7740863787375414</v>
      </c>
      <c r="G18" s="463"/>
    </row>
    <row r="19" spans="1:7" ht="15.75" customHeight="1" thickTop="1" thickBot="1">
      <c r="A19" s="793" t="str">
        <f>Datos!A19</f>
        <v>TOTAL JURISDICCIONES</v>
      </c>
      <c r="B19" s="808">
        <f>IF(ISNUMBER(NºAsuntos!G19/NºAsuntos!E19),NºAsuntos!G19/NºAsuntos!E19," - ")</f>
        <v>0.97368421052631582</v>
      </c>
      <c r="C19" s="809">
        <f>IF(ISNUMBER(NºAsuntos!I19/NºAsuntos!G19),NºAsuntos!I19/NºAsuntos!G19," - ")</f>
        <v>2.0180180180180178</v>
      </c>
      <c r="D19" s="810">
        <f>IF(ISNUMBER('Resol  Asuntos'!D19/NºAsuntos!G19),'Resol  Asuntos'!D19/NºAsuntos!G19," - ")</f>
        <v>0.19099099099099098</v>
      </c>
      <c r="E19" s="811">
        <f>IF(ISNUMBER((NºAsuntos!C19+NºAsuntos!E19)/NºAsuntos!G19),(NºAsuntos!C19+NºAsuntos!E19)/NºAsuntos!G19," - ")</f>
        <v>3.0126126126126125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5VRSx40LZU58zf0Y89RE6CIFaGjPpR2w6jF6XnvGnb/iB4BvcJRn6t8kgOkVr6ZYj9nEK33tGHQdoAoO3ocJQ==" saltValue="EQxl5QwbpFgBKNM/rk/yo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ESTEPA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17</v>
      </c>
      <c r="AB10" s="334">
        <f>IF(ISNUMBER(Datos!R10),Datos!R10," - ")</f>
        <v>1</v>
      </c>
      <c r="AC10" s="334">
        <f t="shared" ref="AC10:AC12" si="1">IF(ISNUMBER(AA10+AB10),AA10+AB10," - ")</f>
        <v>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11.333333333333334</v>
      </c>
      <c r="AN10" s="244">
        <f>IF(ISNUMBER('Resol  Asuntos'!D10/NºAsuntos!G10),'Resol  Asuntos'!D10/NºAsuntos!G10," - ")</f>
        <v>0.66666666666666663</v>
      </c>
      <c r="AO10" s="245">
        <f>IF(ISNUMBER((NºAsuntos!C10+NºAsuntos!E10)/NºAsuntos!G10),(NºAsuntos!C10+NºAsuntos!E10)/NºAsuntos!G10," - ")</f>
        <v>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63</v>
      </c>
      <c r="AJ12" s="229" t="str">
        <f>IF(ISNUMBER(Datos!BW12),Datos!BW12," - ")</f>
        <v xml:space="preserve"> - </v>
      </c>
      <c r="AK12" s="228" t="str">
        <f>IF(ISNUMBER(Datos!BX12),Datos!BX12," - ")</f>
        <v xml:space="preserve"> - </v>
      </c>
      <c r="AL12" s="243">
        <f>IF(ISNUMBER(NºAsuntos!G12/NºAsuntos!E12),NºAsuntos!G12/NºAsuntos!E12," - ")</f>
        <v>1.0161943319838056</v>
      </c>
      <c r="AM12" s="260">
        <f>IF(ISNUMBER(((NºAsuntos!I12/NºAsuntos!G12)*11)/factor_trimestre),((NºAsuntos!I12/NºAsuntos!G12)*11)/factor_trimestre," - ")</f>
        <v>4.5099601593625502</v>
      </c>
      <c r="AN12" s="244">
        <f>IF(ISNUMBER('Resol  Asuntos'!D12/NºAsuntos!G12),'Resol  Asuntos'!D12/NºAsuntos!G12," - ")</f>
        <v>0.25099601593625498</v>
      </c>
      <c r="AO12" s="245">
        <f>IF(ISNUMBER((NºAsuntos!C12+NºAsuntos!E12)/NºAsuntos!G12),(NºAsuntos!C12+NºAsuntos!E12)/NºAsuntos!G12," - ")</f>
        <v>3.2549800796812751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16</v>
      </c>
      <c r="G13" s="866">
        <f t="shared" si="3"/>
        <v>16</v>
      </c>
      <c r="H13" s="865">
        <f t="shared" si="3"/>
        <v>0</v>
      </c>
      <c r="I13" s="867">
        <f t="shared" si="3"/>
        <v>0</v>
      </c>
      <c r="J13" s="867">
        <f t="shared" si="3"/>
        <v>0</v>
      </c>
      <c r="K13" s="867">
        <f t="shared" si="3"/>
        <v>0</v>
      </c>
      <c r="L13" s="867">
        <f t="shared" si="3"/>
        <v>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24</v>
      </c>
      <c r="Y13" s="868">
        <f t="shared" si="4"/>
        <v>27</v>
      </c>
      <c r="Z13" s="868">
        <f t="shared" si="4"/>
        <v>0</v>
      </c>
      <c r="AA13" s="868">
        <f t="shared" si="4"/>
        <v>17</v>
      </c>
      <c r="AB13" s="868">
        <f t="shared" si="4"/>
        <v>1439</v>
      </c>
      <c r="AC13" s="868">
        <f t="shared" si="4"/>
        <v>18</v>
      </c>
      <c r="AD13" s="868">
        <f t="shared" si="4"/>
        <v>0</v>
      </c>
      <c r="AE13" s="872">
        <f t="shared" si="4"/>
        <v>0</v>
      </c>
      <c r="AF13" s="865">
        <f t="shared" si="4"/>
        <v>0</v>
      </c>
      <c r="AG13" s="873">
        <f t="shared" si="4"/>
        <v>0</v>
      </c>
      <c r="AH13" s="870">
        <f t="shared" si="4"/>
        <v>0</v>
      </c>
      <c r="AI13" s="865">
        <f t="shared" si="4"/>
        <v>65</v>
      </c>
      <c r="AJ13" s="867">
        <f t="shared" si="4"/>
        <v>0</v>
      </c>
      <c r="AK13" s="870">
        <f>SUBTOTAL(9,AK9:AK12)</f>
        <v>0</v>
      </c>
      <c r="AL13" s="874">
        <f>IF(ISNUMBER(NºAsuntos!G13/NºAsuntos!E13),NºAsuntos!G13/NºAsuntos!E13," - ")</f>
        <v>1.0119521912350598</v>
      </c>
      <c r="AM13" s="874">
        <f>IF(ISNUMBER(((NºAsuntos!I13/NºAsuntos!G13)*11)/factor_trimestre),((NºAsuntos!I13/NºAsuntos!G13)*11)/factor_trimestre," - ")</f>
        <v>4.590551181102362</v>
      </c>
      <c r="AN13" s="875">
        <f>IF(ISNUMBER('Resol  Asuntos'!D13/NºAsuntos!G13),'Resol  Asuntos'!D13/NºAsuntos!G13," - ")</f>
        <v>0.25590551181102361</v>
      </c>
      <c r="AO13" s="876">
        <f>IF(ISNUMBER((NºAsuntos!C13+NºAsuntos!E13)/NºAsuntos!G13),(NºAsuntos!C13+NºAsuntos!E13)/NºAsuntos!G13," - ")</f>
        <v>3.295275590551181</v>
      </c>
      <c r="AP13" s="877" t="str">
        <f t="shared" si="2"/>
        <v xml:space="preserve"> - </v>
      </c>
      <c r="AQ13" s="877">
        <f>IF(ISNUMBER((H13-W13+K13)/(F13)),(H13-W13+K13)/(F13)," - ")</f>
        <v>-0.1875</v>
      </c>
      <c r="AR13" s="878">
        <f>IF(ISNUMBER((Datos!P13-Datos!Q13)/(Datos!R13-Datos!P13+Datos!Q13)),(Datos!P13-Datos!Q13)/(Datos!R13-Datos!P13+Datos!Q13)," - ")</f>
        <v>1.6961130742049468E-2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490</v>
      </c>
      <c r="G16" s="333">
        <f>IF(ISNUMBER(IF(D_I="SI",Datos!I16,Datos!I16+Datos!AC16)),IF(D_I="SI",Datos!I16,Datos!I16+Datos!AC16)," - ")</f>
        <v>487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269</v>
      </c>
      <c r="X16" s="226">
        <f>IF(ISNUMBER(Datos!Q16),Datos!Q16," - ")</f>
        <v>2</v>
      </c>
      <c r="Y16" s="334">
        <f t="shared" ref="Y16:Y17" si="7">SUM(W16:X16)</f>
        <v>271</v>
      </c>
      <c r="Z16" s="335" t="str">
        <f>IF(ISNUMBER(Datos!CC16),Datos!CC16," - ")</f>
        <v xml:space="preserve"> - </v>
      </c>
      <c r="AA16" s="332">
        <f>IF(ISNUMBER(IF(D_I="SI",Datos!L16,Datos!L16+Datos!AF16)),IF(D_I="SI",Datos!L16,Datos!L16+Datos!AF16)," - ")</f>
        <v>509</v>
      </c>
      <c r="AB16" s="334">
        <f>IF(ISNUMBER(Datos!R16),Datos!R16," - ")</f>
        <v>62</v>
      </c>
      <c r="AC16" s="334">
        <f t="shared" si="6"/>
        <v>571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0.93402777777777779</v>
      </c>
      <c r="AM16" s="260">
        <f>IF(ISNUMBER(((NºAsuntos!I16/NºAsuntos!G16)*11)/factor_trimestre),((NºAsuntos!I16/NºAsuntos!G16)*11)/factor_trimestre," - ")</f>
        <v>3.7843866171003722</v>
      </c>
      <c r="AN16" s="244">
        <f>IF(ISNUMBER('Resol  Asuntos'!D16/NºAsuntos!G16),'Resol  Asuntos'!D16/NºAsuntos!G16," - ")</f>
        <v>0.14126394052044611</v>
      </c>
      <c r="AO16" s="245">
        <f>IF(ISNUMBER((NºAsuntos!C16+NºAsuntos!E16)/NºAsuntos!G16),(NºAsuntos!C16+NºAsuntos!E16)/NºAsuntos!G16," - ")</f>
        <v>2.8810408921933086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1.032258064516129</v>
      </c>
      <c r="AM17" s="260">
        <f>IF(ISNUMBER(((NºAsuntos!I17/NºAsuntos!G17)*11)/factor_trimestre),((NºAsuntos!I17/NºAsuntos!G17)*11)/factor_trimestre," - ")</f>
        <v>1.75</v>
      </c>
      <c r="AN17" s="244">
        <f>IF(ISNUMBER('Resol  Asuntos'!D17/NºAsuntos!G17),'Resol  Asuntos'!D17/NºAsuntos!G17," - ")</f>
        <v>9.375E-2</v>
      </c>
      <c r="AO17" s="245">
        <f>IF(ISNUMBER((NºAsuntos!C17+NºAsuntos!E17)/NºAsuntos!G17),(NºAsuntos!C17+NºAsuntos!E17)/NºAsuntos!G17," - ")</f>
        <v>1.875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490</v>
      </c>
      <c r="G18" s="866">
        <f>SUBTOTAL(9,G15:G17)</f>
        <v>516</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301</v>
      </c>
      <c r="X18" s="867">
        <f t="shared" si="11"/>
        <v>2</v>
      </c>
      <c r="Y18" s="868">
        <f t="shared" si="11"/>
        <v>303</v>
      </c>
      <c r="Z18" s="868">
        <f t="shared" si="11"/>
        <v>0</v>
      </c>
      <c r="AA18" s="868">
        <f t="shared" si="11"/>
        <v>537</v>
      </c>
      <c r="AB18" s="868">
        <f t="shared" si="11"/>
        <v>62</v>
      </c>
      <c r="AC18" s="868">
        <f t="shared" si="11"/>
        <v>599</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0.94357366771159878</v>
      </c>
      <c r="AM18" s="874">
        <f>IF(ISNUMBER(((NºAsuntos!I18/NºAsuntos!G18)*11)/factor_trimestre),((NºAsuntos!I18/NºAsuntos!G18)*11)/factor_trimestre," - ")</f>
        <v>3.5681063122923589</v>
      </c>
      <c r="AN18" s="875">
        <f>IF(ISNUMBER('Resol  Asuntos'!D18/NºAsuntos!G18),'Resol  Asuntos'!D18/NºAsuntos!G18," - ")</f>
        <v>0.13621262458471761</v>
      </c>
      <c r="AO18" s="876">
        <f>IF(ISNUMBER((NºAsuntos!C18+NºAsuntos!E18)/NºAsuntos!G18),(NºAsuntos!C18+NºAsuntos!E18)/NºAsuntos!G18," - ")</f>
        <v>2.7740863787375414</v>
      </c>
      <c r="AP18" s="877" t="str">
        <f t="shared" si="2"/>
        <v xml:space="preserve"> - </v>
      </c>
      <c r="AQ18" s="877">
        <f>IF(ISNUMBER((H18-W18+K18)/(F18)),(H18-W18+K18)/(F18)," - ")</f>
        <v>-0.61428571428571432</v>
      </c>
      <c r="AR18" s="878">
        <f>IF(ISNUMBER((Datos!P18-Datos!Q18)/(Datos!R18-Datos!P18+Datos!Q18)),(Datos!P18-Datos!Q18)/(Datos!R18-Datos!P18+Datos!Q18)," - ")</f>
        <v>1.6393442622950821E-2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506</v>
      </c>
      <c r="G19" s="821">
        <f t="shared" si="13"/>
        <v>532</v>
      </c>
      <c r="H19" s="820">
        <f t="shared" si="13"/>
        <v>0</v>
      </c>
      <c r="I19" s="822">
        <f t="shared" si="13"/>
        <v>0</v>
      </c>
      <c r="J19" s="822">
        <f t="shared" si="13"/>
        <v>0</v>
      </c>
      <c r="K19" s="881">
        <f t="shared" si="13"/>
        <v>0</v>
      </c>
      <c r="L19" s="822">
        <f t="shared" si="13"/>
        <v>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304</v>
      </c>
      <c r="X19" s="821">
        <f t="shared" si="14"/>
        <v>26</v>
      </c>
      <c r="Y19" s="828">
        <f t="shared" si="14"/>
        <v>330</v>
      </c>
      <c r="Z19" s="828">
        <f t="shared" si="14"/>
        <v>0</v>
      </c>
      <c r="AA19" s="828">
        <f t="shared" si="14"/>
        <v>554</v>
      </c>
      <c r="AB19" s="828">
        <f t="shared" si="14"/>
        <v>1501</v>
      </c>
      <c r="AC19" s="828">
        <f t="shared" si="14"/>
        <v>617</v>
      </c>
      <c r="AD19" s="828">
        <f t="shared" si="14"/>
        <v>0</v>
      </c>
      <c r="AE19" s="830">
        <f t="shared" si="14"/>
        <v>0</v>
      </c>
      <c r="AF19" s="831">
        <f t="shared" si="14"/>
        <v>0</v>
      </c>
      <c r="AG19" s="832">
        <f t="shared" si="14"/>
        <v>0</v>
      </c>
      <c r="AH19" s="830">
        <f t="shared" si="14"/>
        <v>0</v>
      </c>
      <c r="AI19" s="820">
        <f t="shared" si="14"/>
        <v>106</v>
      </c>
      <c r="AJ19" s="820">
        <f t="shared" si="14"/>
        <v>0</v>
      </c>
      <c r="AK19" s="830">
        <f t="shared" si="14"/>
        <v>0</v>
      </c>
      <c r="AL19" s="884">
        <f>IF(ISNUMBER(NºAsuntos!G19/NºAsuntos!E19),NºAsuntos!G19/NºAsuntos!E19," - ")</f>
        <v>0.97368421052631582</v>
      </c>
      <c r="AM19" s="885">
        <f>IF(ISNUMBER(((NºAsuntos!I19/NºAsuntos!G19)*11)/factor_trimestre),((NºAsuntos!I19/NºAsuntos!G19)*11)/factor_trimestre," - ")</f>
        <v>4.0360360360360357</v>
      </c>
      <c r="AN19" s="885">
        <f>IF(ISNUMBER('Resol  Asuntos'!D19/NºAsuntos!G19),'Resol  Asuntos'!D19/NºAsuntos!G19," - ")</f>
        <v>0.19099099099099098</v>
      </c>
      <c r="AO19" s="886">
        <f>IF(ISNUMBER((NºAsuntos!C19+NºAsuntos!E19)/NºAsuntos!G19),(NºAsuntos!C19+NºAsuntos!E19)/NºAsuntos!G19," - ")</f>
        <v>3.0126126126126125</v>
      </c>
      <c r="AP19" s="887" t="str">
        <f t="shared" si="2"/>
        <v xml:space="preserve"> - </v>
      </c>
      <c r="AQ19" s="888">
        <f>IF(OR(ISNUMBER(FIND("01",Criterios!A8,1)),ISNUMBER(FIND("02",Criterios!A8,1)),ISNUMBER(FIND("03",Criterios!A8,1)),ISNUMBER(FIND("04",Criterios!A8,1))),(I19-W19+K19)/(F19-K19),(H19-W19+K19)/(F19-K19))</f>
        <v>-0.60079051383399207</v>
      </c>
      <c r="AR19" s="889">
        <f>IF(ISNUMBER((Datos!P19-Datos!Q19)/(Datos!R19-Datos!P19+Datos!Q19)),(Datos!P19-Datos!Q19)/(Datos!R19-Datos!P19+Datos!Q19)," - ")</f>
        <v>1.6937669376693765E-2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273.6640275958826</v>
      </c>
      <c r="G21" s="253">
        <f>IF(ISNUMBER(STDEV(G8:G18)),STDEV(G8:G18),"-")</f>
        <v>263.79859741856097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150.059321603158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27.717623755774351</v>
      </c>
      <c r="AJ21" s="252">
        <f t="shared" si="18"/>
        <v>0</v>
      </c>
      <c r="AK21" s="254">
        <f t="shared" si="18"/>
        <v>0</v>
      </c>
      <c r="AL21" s="249">
        <f t="shared" si="18"/>
        <v>0.10512714827272281</v>
      </c>
      <c r="AM21" s="250">
        <f t="shared" si="18"/>
        <v>3.3037434359132352</v>
      </c>
      <c r="AN21" s="250">
        <f t="shared" si="18"/>
        <v>0.21094914541199272</v>
      </c>
      <c r="AO21" s="251">
        <f t="shared" si="18"/>
        <v>1.6534658510016471</v>
      </c>
      <c r="AP21" s="291" t="str">
        <f t="shared" si="18"/>
        <v>-</v>
      </c>
      <c r="AQ21" s="292">
        <f t="shared" si="18"/>
        <v>0.30178307268497295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I0oRPfAEIXuuE4fgYfKNgWKXh4e33L52KXi0kQtZzSJbd5Vg1YI/axYAebOD/3KOASKSCsiioLkV1qP6/TQ5A==" saltValue="RxS90DO8jfDGVH8YLDN1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ESTEPA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0.77777777777777779</v>
      </c>
      <c r="E10" s="348">
        <f>IF(ISNUMBER((Datos!J10-Datos!T10)/Datos!T10),(Datos!J10-Datos!T10)/Datos!T10," - ")</f>
        <v>0.33333333333333331</v>
      </c>
      <c r="F10" s="348" t="str">
        <f>IF(ISNUMBER((Datos!K10-Datos!U10)/Datos!U10),(Datos!K10-Datos!U10)/Datos!U10," - ")</f>
        <v xml:space="preserve"> - </v>
      </c>
      <c r="G10" s="349">
        <f>IF(ISNUMBER((Datos!L10-Datos!V10)/Datos!V10),(Datos!L10-Datos!V10)/Datos!V10," - ")</f>
        <v>0.41666666666666669</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1.6129032258064516E-2</v>
      </c>
      <c r="I12" s="350">
        <f>IF(ISNUMBER((Tasas!C12-Datos!BE12)/Datos!BE12),(Tasas!C12-Datos!BE12)/Datos!BE12," - ")</f>
        <v>-0.22081102342223452</v>
      </c>
      <c r="J12" s="349">
        <f>IF(ISNUMBER((Tasas!D12-Datos!BF12)/Datos!BF12),(Tasas!D12-Datos!BF12)/Datos!BF12," - ")</f>
        <v>-0.29264759145237235</v>
      </c>
      <c r="K12" s="351">
        <f>IF(ISNUMBER((Tasas!E12-Datos!BG12)/Datos!BG12),(Tasas!E12-Datos!BG12)/Datos!BG12," - ")</f>
        <v>-0.16410570734812222</v>
      </c>
      <c r="M12" t="e">
        <f>IF(Monitorios="SI",Datos!CE12,0)</f>
        <v>#REF!</v>
      </c>
      <c r="N12" t="e">
        <f>IF(Monitorios="SI",Datos!CF12,0)</f>
        <v>#REF!</v>
      </c>
      <c r="O12" t="e">
        <f>IF(Monitorios="SI",Datos!CG12,0)</f>
        <v>#REF!</v>
      </c>
      <c r="P12" t="e">
        <f>IF(Monitorios="SI",Datos!CH12,0)</f>
        <v>#REF!</v>
      </c>
      <c r="Q12">
        <f>IF(J_V="SI",0,Datos!AG12)</f>
        <v>18</v>
      </c>
      <c r="R12">
        <f>IF(J_V="SI",0,Datos!AH12)</f>
        <v>17</v>
      </c>
      <c r="S12">
        <f>IF(J_V="SI",0,Datos!AI12)</f>
        <v>16</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4.8387096774193547E-2</v>
      </c>
      <c r="I13" s="357">
        <f>IF(ISNUMBER((Tasas!C13-Datos!BE13)/Datos!BE13),(Tasas!C13-Datos!BE13)/Datos!BE13," - ")</f>
        <v>-0.22175812007874021</v>
      </c>
      <c r="J13" s="355">
        <f>IF(ISNUMBER((Tasas!D13-Datos!BF13)/Datos!BF13),(Tasas!D13-Datos!BF13)/Datos!BF13," - ")</f>
        <v>-0.27881173944166077</v>
      </c>
      <c r="K13" s="358">
        <f>IF(ISNUMBER((Tasas!E13-Datos!BG13)/Datos!BG13),(Tasas!E13-Datos!BG13)/Datos!BG13," - ")</f>
        <v>-0.16560699749170799</v>
      </c>
      <c r="M13" t="e">
        <f>IF(Monitorios="SI",Datos!CE13,0)</f>
        <v>#REF!</v>
      </c>
      <c r="N13" t="e">
        <f>IF(Monitorios="SI",Datos!CF13,0)</f>
        <v>#REF!</v>
      </c>
      <c r="O13" t="e">
        <f>IF(Monitorios="SI",Datos!CG13,0)</f>
        <v>#REF!</v>
      </c>
      <c r="P13" t="e">
        <f>IF(Monitorios="SI",Datos!CH13,0)</f>
        <v>#REF!</v>
      </c>
      <c r="Q13">
        <f>IF(J_V="SI",0,Datos!AG13)</f>
        <v>18</v>
      </c>
      <c r="R13">
        <f>IF(J_V="SI",0,Datos!AH13)</f>
        <v>17</v>
      </c>
      <c r="S13">
        <f>IF(J_V="SI",0,Datos!AI13)</f>
        <v>16</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-0.16894197952218429</v>
      </c>
      <c r="E16" s="348">
        <f>IF(ISNUMBER(
   IF(D_I="SI",(Datos!J16-Datos!T16)/Datos!T16,(Datos!J16+Datos!AD16-(Datos!T16+Datos!AL16))/(Datos!T16+Datos!AL16))
     ),IF(D_I="SI",(Datos!J16-Datos!T16)/Datos!T16,(Datos!J16+Datos!AD16-(Datos!T16+Datos!AL16))/(Datos!T16+Datos!AL16))," - ")</f>
        <v>1.4084507042253521E-2</v>
      </c>
      <c r="F16" s="348">
        <f>IF(ISNUMBER(
   IF(D_I="SI",(Datos!K16-Datos!U16)/Datos!U16,(Datos!K16+Datos!AE16-(Datos!U16+Datos!AM16))/(Datos!U16+Datos!AM16))
     ),IF(D_I="SI",(Datos!K16-Datos!U16)/Datos!U16,(Datos!K16+Datos!AE16-(Datos!U16+Datos!AM16))/(Datos!U16+Datos!AM16))," - ")</f>
        <v>-3.9285714285714285E-2</v>
      </c>
      <c r="G16" s="349">
        <f>IF(ISNUMBER(
   IF(D_I="SI",(Datos!L16-Datos!V16)/Datos!V16,(Datos!L16+Datos!AF16-(Datos!V16+Datos!AN16))/(Datos!V16+Datos!AN16))
     ),IF(D_I="SI",(Datos!L16-Datos!V16)/Datos!V16,(Datos!L16+Datos!AF16-(Datos!V16+Datos!AN16))/(Datos!V16+Datos!AN16))," - ")</f>
        <v>-0.13728813559322034</v>
      </c>
      <c r="H16" s="230">
        <f>IF(ISNUMBER((Datos!M16-Datos!W16)/Datos!W16),(Datos!M16-Datos!W16)/Datos!W16," - ")</f>
        <v>-0.17391304347826086</v>
      </c>
      <c r="I16" s="350">
        <f>IF(ISNUMBER((Tasas!C16-Datos!BE16)/Datos!BE16),(Tasas!C16-Datos!BE16)/Datos!BE16," - ")</f>
        <v>-0.10200995526431861</v>
      </c>
      <c r="J16" s="349">
        <f>IF(ISNUMBER((Tasas!D16-Datos!BF16)/Datos!BF16),(Tasas!D16-Datos!BF16)/Datos!BF16," - ")</f>
        <v>-0.14013253596250194</v>
      </c>
      <c r="K16" s="351">
        <f>IF(ISNUMBER((Tasas!E16-Datos!BG16)/Datos!BG16),(Tasas!E16-Datos!BG16)/Datos!BG16," - ")</f>
        <v>-7.276844848950989E-2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-0.32558139534883723</v>
      </c>
      <c r="E17" s="348">
        <f>IF(ISNUMBER(
   IF(D_I="SI",(Datos!J17-Datos!T17)/Datos!T17,(Datos!J17+Datos!AD17-(Datos!T17+Datos!AL17))/(Datos!T17+Datos!AL17))
     ),IF(D_I="SI",(Datos!J17-Datos!T17)/Datos!T17,(Datos!J17+Datos!AD17-(Datos!T17+Datos!AL17))/(Datos!T17+Datos!AL17))," - ")</f>
        <v>-0.16216216216216217</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-0.41666666666666669</v>
      </c>
      <c r="H17" s="230">
        <f>IF(ISNUMBER((Datos!M17-Datos!W17)/Datos!W17),(Datos!M17-Datos!W17)/Datos!W17," - ")</f>
        <v>0.5</v>
      </c>
      <c r="I17" s="350">
        <f>IF(ISNUMBER((Tasas!C17-Datos!BE17)/Datos!BE17),(Tasas!C17-Datos!BE17)/Datos!BE17," - ")</f>
        <v>-0.41666666666666669</v>
      </c>
      <c r="J17" s="349">
        <f>IF(ISNUMBER((Tasas!D17-Datos!BF17)/Datos!BF17),(Tasas!D17-Datos!BF17)/Datos!BF17," - ")</f>
        <v>0.5</v>
      </c>
      <c r="K17" s="351">
        <f>IF(ISNUMBER((Tasas!E17-Datos!BG17)/Datos!BG17),(Tasas!E17-Datos!BG17)/Datos!BG17," - ")</f>
        <v>-0.25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-0.17965023847376788</v>
      </c>
      <c r="E18" s="354">
        <f>IF(ISNUMBER(
   IF(D_I="SI",(Datos!J18-Datos!T18)/Datos!T18,(Datos!J18+Datos!AD18-(Datos!T18+Datos!AL18))/(Datos!T18+Datos!AL18))
     ),IF(D_I="SI",(Datos!J18-Datos!T18)/Datos!T18,(Datos!J18+Datos!AD18-(Datos!T18+Datos!AL18))/(Datos!T18+Datos!AL18))," - ")</f>
        <v>-6.2305295950155761E-3</v>
      </c>
      <c r="F18" s="354">
        <f>IF(ISNUMBER(
   IF(D_I="SI",(Datos!K18-Datos!U18)/Datos!U18,(Datos!K18+Datos!AE18-(Datos!U18+Datos!AM18))/(Datos!U18+Datos!AM18))
     ),IF(D_I="SI",(Datos!K18-Datos!U18)/Datos!U18,(Datos!K18+Datos!AE18-(Datos!U18+Datos!AM18))/(Datos!U18+Datos!AM18))," - ")</f>
        <v>-3.5256410256410256E-2</v>
      </c>
      <c r="G18" s="355">
        <f>IF(ISNUMBER(
   IF(D_I="SI",(Datos!L18-Datos!V18)/Datos!V18,(Datos!L18+Datos!AF18-(Datos!V18+Datos!AN18))/(Datos!V18+Datos!AN18))
     ),IF(D_I="SI",(Datos!L18-Datos!V18)/Datos!V18,(Datos!L18+Datos!AF18-(Datos!V18+Datos!AN18))/(Datos!V18+Datos!AN18))," - ")</f>
        <v>-0.15830721003134796</v>
      </c>
      <c r="H18" s="356">
        <f>IF(ISNUMBER((Datos!M18-Datos!W18)/Datos!W18),(Datos!M18-Datos!W18)/Datos!W18," - ")</f>
        <v>-0.14583333333333334</v>
      </c>
      <c r="I18" s="357">
        <f>IF(ISNUMBER((Tasas!C18-Datos!BE18)/Datos!BE18),(Tasas!C18-Datos!BE18)/Datos!BE18," - ")</f>
        <v>-0.12754767285641375</v>
      </c>
      <c r="J18" s="355">
        <f>IF(ISNUMBER((Tasas!D18-Datos!BF18)/Datos!BF18),(Tasas!D18-Datos!BF18)/Datos!BF18," - ")</f>
        <v>-0.11461794019933558</v>
      </c>
      <c r="K18" s="358">
        <f>IF(ISNUMBER((Tasas!E18-Datos!BG18)/Datos!BG18),(Tasas!E18-Datos!BG18)/Datos!BG18," - ")</f>
        <v>-8.8931631404091618E-2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-0.13500784929356358</v>
      </c>
      <c r="E19" s="363">
        <f>IF(ISNUMBER(
   IF(J_V="SI",(Datos!J19-Datos!T19)/Datos!T19,(Datos!J19+Datos!Z19-(Datos!T19+Datos!AH19))/(Datos!T19+Datos!AH19))
     ),IF(J_V="SI",(Datos!J19-Datos!T19)/Datos!T19,(Datos!J19+Datos!Z19-(Datos!T19+Datos!AH19))/(Datos!T19+Datos!AH19))," - ")</f>
        <v>6.9418386491557224E-2</v>
      </c>
      <c r="F19" s="363">
        <f>IF(ISNUMBER(
   IF(J_V="SI",(Datos!K19-Datos!U19)/Datos!U19,(Datos!K19+Datos!AA19-(Datos!U19+Datos!AI19))/(Datos!U19+Datos!AI19))
     ),IF(J_V="SI",(Datos!K19-Datos!U19)/Datos!U19,(Datos!K19+Datos!AA19-(Datos!U19+Datos!AI19))/(Datos!U19+Datos!AI19))," - ")</f>
        <v>4.9149338374291113E-2</v>
      </c>
      <c r="G19" s="364">
        <f>IF(ISNUMBER(
   IF(J_V="SI",(Datos!L19-Datos!V19)/Datos!V19,(Datos!L19+Datos!AB19-(Datos!V19+Datos!AJ19))/(Datos!V19+Datos!AJ19))
     ),IF(J_V="SI",(Datos!L19-Datos!V19)/Datos!V19,(Datos!L19+Datos!AB19-(Datos!V19+Datos!AJ19))/(Datos!V19+Datos!AJ19))," - ")</f>
        <v>-0.12363067292644757</v>
      </c>
      <c r="H19" s="365">
        <f>IF(ISNUMBER((Datos!M19-Datos!W19)/Datos!W19),(Datos!M19-Datos!W19)/Datos!W19," - ")</f>
        <v>-3.6363636363636362E-2</v>
      </c>
      <c r="I19" s="362">
        <f>IF(ISNUMBER((Tasas!C19-Datos!BE19)/Datos!BE19),(Tasas!C19-Datos!BE19)/Datos!BE19," - ")</f>
        <v>-0.16468581257313658</v>
      </c>
      <c r="J19" s="363">
        <f>IF(ISNUMBER((Tasas!D19-Datos!BF19)/Datos!BF19),(Tasas!D19-Datos!BF19)/Datos!BF19," - ")</f>
        <v>-0.19172612612612619</v>
      </c>
      <c r="K19" s="364">
        <f>IF(ISNUMBER((Tasas!E19-Datos!BG19)/Datos!BG19),(Tasas!E19-Datos!BG19)/Datos!BG19," - ")</f>
        <v>-0.11805640726504039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0.5063179704193882</v>
      </c>
      <c r="E21" s="278">
        <f t="shared" si="1"/>
        <v>0.20787205185435206</v>
      </c>
      <c r="F21" s="278">
        <f t="shared" si="1"/>
        <v>2.1612562327142253E-2</v>
      </c>
      <c r="G21" s="279">
        <f t="shared" si="1"/>
        <v>0.35085005109308781</v>
      </c>
      <c r="H21" s="285">
        <f t="shared" si="1"/>
        <v>0.27024623877973142</v>
      </c>
      <c r="I21" s="277">
        <f t="shared" si="1"/>
        <v>0.12361785122798197</v>
      </c>
      <c r="J21" s="278">
        <f t="shared" si="1"/>
        <v>0.32591042904465861</v>
      </c>
      <c r="K21" s="279">
        <f t="shared" si="1"/>
        <v>7.0925770156152312E-2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x7aYl1HTJSPZPHK2TYSucKjiVDRHj1JoITZylQ0sYe6nQuEw6q/JRiZI+J3YuwWEaZGsfHZWoYqGysx68XUFw==" saltValue="nJCL5jS1B0sRVRg0+Con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